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showInkAnnotation="0" codeName="ThisWorkbook" autoCompressPictures="0"/>
  <mc:AlternateContent xmlns:mc="http://schemas.openxmlformats.org/markup-compatibility/2006">
    <mc:Choice Requires="x15">
      <x15ac:absPath xmlns:x15ac="http://schemas.microsoft.com/office/spreadsheetml/2010/11/ac" url="G:\Edi\Edi\tools\2019\Alfresco\2. Tools\Onderneming\Update\major\"/>
    </mc:Choice>
  </mc:AlternateContent>
  <xr:revisionPtr revIDLastSave="0" documentId="13_ncr:1_{178298AA-1AC8-4FD8-AD67-2D68E3C9E124}" xr6:coauthVersionLast="43" xr6:coauthVersionMax="43" xr10:uidLastSave="{00000000-0000-0000-0000-000000000000}"/>
  <bookViews>
    <workbookView showSheetTabs="0" xWindow="-120" yWindow="-120" windowWidth="29040" windowHeight="15840" xr2:uid="{00000000-000D-0000-FFFF-FFFF00000000}"/>
  </bookViews>
  <sheets>
    <sheet name="Home" sheetId="4" r:id="rId1"/>
    <sheet name="1" sheetId="2" r:id="rId2"/>
    <sheet name="calc" sheetId="8" state="veryHidden" r:id="rId3"/>
  </sheets>
  <definedNames>
    <definedName name="_xlnm.Print_Area" localSheetId="1">'1'!$B$2:$I$15</definedName>
    <definedName name="_xlnm.Print_Area" localSheetId="0">Home!$C$3:$R$30</definedName>
    <definedName name="_xlnm.Print_Titles" localSheetId="1">'1'!$2:$4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8" i="2" l="1"/>
  <c r="B27" i="2"/>
  <c r="B30" i="2" l="1"/>
  <c r="B34" i="2" l="1"/>
  <c r="J3" i="8" l="1"/>
  <c r="J4" i="8" s="1"/>
  <c r="J11" i="8"/>
  <c r="J24" i="8"/>
  <c r="J7" i="8" l="1"/>
  <c r="J6" i="8"/>
  <c r="J16" i="8"/>
  <c r="J5" i="8"/>
  <c r="J8" i="8"/>
  <c r="J9" i="8" l="1"/>
  <c r="J10" i="8" s="1"/>
  <c r="J12" i="8" s="1"/>
  <c r="J11" i="2" s="1"/>
  <c r="J19" i="8"/>
  <c r="J20" i="8"/>
  <c r="J17" i="8"/>
  <c r="J21" i="8"/>
  <c r="J18" i="8"/>
  <c r="J22" i="8" l="1"/>
  <c r="J23" i="8" s="1"/>
  <c r="J25" i="8" s="1"/>
  <c r="J12" i="2" s="1"/>
  <c r="E19" i="2" l="1"/>
  <c r="B26" i="2" l="1"/>
  <c r="B24" i="2" l="1"/>
  <c r="A27" i="8"/>
  <c r="D20" i="2"/>
  <c r="E20" i="2"/>
  <c r="D21" i="2" s="1"/>
  <c r="E21" i="2"/>
  <c r="D22" i="2" s="1"/>
  <c r="E22" i="2"/>
  <c r="D23" i="2" s="1"/>
  <c r="B18" i="2"/>
  <c r="A40" i="8" l="1"/>
  <c r="A32" i="8"/>
  <c r="A39" i="8"/>
  <c r="A36" i="8"/>
  <c r="C34" i="8"/>
  <c r="C36" i="8"/>
  <c r="C33" i="8"/>
  <c r="C35" i="8" s="1"/>
  <c r="A34" i="8"/>
  <c r="A35" i="8"/>
  <c r="A28" i="8"/>
  <c r="C30" i="8"/>
  <c r="C29" i="8"/>
  <c r="D29" i="8" s="1"/>
  <c r="A33" i="8"/>
  <c r="C28" i="8"/>
  <c r="D28" i="8" s="1"/>
  <c r="C31" i="8"/>
  <c r="D31" i="8" s="1"/>
  <c r="E31" i="8" s="1"/>
  <c r="F31" i="8" s="1"/>
  <c r="G31" i="8" s="1"/>
  <c r="C37" i="8" l="1"/>
  <c r="D34" i="8"/>
  <c r="E34" i="8" s="1"/>
  <c r="F34" i="8" s="1"/>
  <c r="G34" i="8" s="1"/>
  <c r="H34" i="8" s="1"/>
  <c r="I34" i="8" s="1"/>
  <c r="D30" i="8"/>
  <c r="E30" i="8" s="1"/>
  <c r="D35" i="8"/>
  <c r="E35" i="8" s="1"/>
  <c r="F35" i="8" s="1"/>
  <c r="G35" i="8" s="1"/>
  <c r="E28" i="8"/>
  <c r="F28" i="8" s="1"/>
  <c r="G28" i="8" s="1"/>
  <c r="H28" i="8" s="1"/>
  <c r="I28" i="8" s="1"/>
  <c r="D36" i="8"/>
  <c r="E36" i="8" s="1"/>
  <c r="H31" i="8"/>
  <c r="I31" i="8" s="1"/>
  <c r="B21" i="2" l="1"/>
  <c r="B22" i="2"/>
  <c r="D37" i="8"/>
  <c r="F30" i="8"/>
  <c r="G30" i="8" s="1"/>
  <c r="H30" i="8" s="1"/>
  <c r="I30" i="8" s="1"/>
  <c r="F36" i="8"/>
  <c r="G36" i="8" s="1"/>
  <c r="H36" i="8" s="1"/>
  <c r="I36" i="8" s="1"/>
  <c r="H35" i="8"/>
  <c r="I35" i="8" s="1"/>
  <c r="D24" i="8"/>
  <c r="E24" i="8"/>
  <c r="F24" i="8"/>
  <c r="G24" i="8"/>
  <c r="H24" i="8"/>
  <c r="I24" i="8"/>
  <c r="C24" i="8"/>
  <c r="C11" i="8"/>
  <c r="D11" i="8"/>
  <c r="C38" i="8" s="1"/>
  <c r="B36" i="2" s="1"/>
  <c r="E11" i="8"/>
  <c r="F11" i="8"/>
  <c r="G11" i="8"/>
  <c r="H11" i="8"/>
  <c r="I11" i="8"/>
  <c r="D3" i="8"/>
  <c r="D4" i="8" s="1"/>
  <c r="E3" i="8"/>
  <c r="F3" i="8"/>
  <c r="F7" i="8" s="1"/>
  <c r="G3" i="8"/>
  <c r="G4" i="8" s="1"/>
  <c r="H3" i="8"/>
  <c r="H4" i="8" s="1"/>
  <c r="I3" i="8"/>
  <c r="C3" i="8"/>
  <c r="C8" i="8" s="1"/>
  <c r="B35" i="2" l="1"/>
  <c r="J13" i="2"/>
  <c r="J14" i="2" s="1"/>
  <c r="E37" i="8"/>
  <c r="E5" i="8"/>
  <c r="I5" i="8"/>
  <c r="F17" i="2"/>
  <c r="E10" i="8"/>
  <c r="H10" i="8"/>
  <c r="G10" i="8"/>
  <c r="F10" i="8"/>
  <c r="D16" i="8"/>
  <c r="H16" i="8"/>
  <c r="H23" i="8" s="1"/>
  <c r="G16" i="8"/>
  <c r="G23" i="8" s="1"/>
  <c r="C16" i="8"/>
  <c r="F16" i="8"/>
  <c r="F23" i="8" s="1"/>
  <c r="I16" i="8"/>
  <c r="E16" i="8"/>
  <c r="E23" i="8" s="1"/>
  <c r="F5" i="8"/>
  <c r="F8" i="8"/>
  <c r="F4" i="8"/>
  <c r="H7" i="8"/>
  <c r="D7" i="8"/>
  <c r="H5" i="8"/>
  <c r="D5" i="8"/>
  <c r="I8" i="8"/>
  <c r="E8" i="8"/>
  <c r="G7" i="8"/>
  <c r="I6" i="8"/>
  <c r="G5" i="8"/>
  <c r="I4" i="8"/>
  <c r="E4" i="8"/>
  <c r="H8" i="8"/>
  <c r="D8" i="8"/>
  <c r="G8" i="8"/>
  <c r="I7" i="8"/>
  <c r="E7" i="8"/>
  <c r="C5" i="8"/>
  <c r="C7" i="8"/>
  <c r="C4" i="8"/>
  <c r="B31" i="2" l="1"/>
  <c r="B32" i="2"/>
  <c r="F37" i="8"/>
  <c r="F19" i="2"/>
  <c r="F22" i="2"/>
  <c r="F21" i="2"/>
  <c r="F20" i="2"/>
  <c r="F23" i="2"/>
  <c r="H20" i="8"/>
  <c r="D20" i="8"/>
  <c r="D18" i="8"/>
  <c r="D17" i="8"/>
  <c r="D21" i="8"/>
  <c r="H18" i="8"/>
  <c r="H17" i="8"/>
  <c r="H21" i="8"/>
  <c r="E18" i="8"/>
  <c r="E17" i="8"/>
  <c r="E21" i="8"/>
  <c r="G17" i="8"/>
  <c r="G18" i="8"/>
  <c r="G21" i="8"/>
  <c r="G20" i="8"/>
  <c r="E20" i="8"/>
  <c r="I18" i="8"/>
  <c r="I17" i="8"/>
  <c r="I19" i="8"/>
  <c r="I21" i="8"/>
  <c r="I20" i="8"/>
  <c r="F17" i="8"/>
  <c r="F18" i="8"/>
  <c r="F20" i="8"/>
  <c r="F21" i="8"/>
  <c r="C18" i="8"/>
  <c r="C21" i="8"/>
  <c r="C17" i="8"/>
  <c r="C20" i="8"/>
  <c r="I9" i="8"/>
  <c r="I10" i="8" s="1"/>
  <c r="G37" i="8" l="1"/>
  <c r="F24" i="2"/>
  <c r="I12" i="8"/>
  <c r="I22" i="8"/>
  <c r="I23" i="8" s="1"/>
  <c r="D49" i="8"/>
  <c r="E49" i="8"/>
  <c r="F49" i="8"/>
  <c r="G49" i="8"/>
  <c r="H49" i="8"/>
  <c r="K49" i="8"/>
  <c r="L49" i="8"/>
  <c r="M49" i="8"/>
  <c r="N49" i="8"/>
  <c r="O49" i="8"/>
  <c r="P49" i="8"/>
  <c r="C49" i="8"/>
  <c r="H37" i="8" l="1"/>
  <c r="I11" i="2"/>
  <c r="I13" i="2" s="1"/>
  <c r="I25" i="8"/>
  <c r="I12" i="2" s="1"/>
  <c r="C6" i="8"/>
  <c r="C9" i="8" s="1"/>
  <c r="C10" i="8" s="1"/>
  <c r="C19" i="8"/>
  <c r="C22" i="8" s="1"/>
  <c r="C23" i="8" s="1"/>
  <c r="G6" i="8"/>
  <c r="G9" i="8" s="1"/>
  <c r="G19" i="8"/>
  <c r="G22" i="8" s="1"/>
  <c r="H6" i="8"/>
  <c r="H9" i="8" s="1"/>
  <c r="H19" i="8"/>
  <c r="H22" i="8" s="1"/>
  <c r="F6" i="8"/>
  <c r="F9" i="8" s="1"/>
  <c r="F19" i="8"/>
  <c r="F22" i="8" s="1"/>
  <c r="D6" i="8"/>
  <c r="D9" i="8" s="1"/>
  <c r="D10" i="8" s="1"/>
  <c r="D19" i="8"/>
  <c r="D22" i="8" s="1"/>
  <c r="D23" i="8" s="1"/>
  <c r="E6" i="8"/>
  <c r="E9" i="8" s="1"/>
  <c r="E19" i="8"/>
  <c r="E22" i="8" s="1"/>
  <c r="I37" i="8" l="1"/>
  <c r="C32" i="8"/>
  <c r="D32" i="8" s="1"/>
  <c r="E32" i="8" s="1"/>
  <c r="F12" i="8"/>
  <c r="F11" i="2" s="1"/>
  <c r="F13" i="2" s="1"/>
  <c r="F25" i="8"/>
  <c r="F12" i="2" s="1"/>
  <c r="E12" i="8"/>
  <c r="E11" i="2" s="1"/>
  <c r="E13" i="2" s="1"/>
  <c r="E25" i="8"/>
  <c r="E12" i="2" s="1"/>
  <c r="G12" i="8"/>
  <c r="G11" i="2" s="1"/>
  <c r="G13" i="2" s="1"/>
  <c r="G25" i="8"/>
  <c r="G12" i="2" s="1"/>
  <c r="H12" i="8"/>
  <c r="H11" i="2" s="1"/>
  <c r="H13" i="2" s="1"/>
  <c r="H25" i="8"/>
  <c r="H12" i="2" s="1"/>
  <c r="C12" i="8"/>
  <c r="C11" i="2" s="1"/>
  <c r="C13" i="2" s="1"/>
  <c r="C25" i="8"/>
  <c r="C12" i="2" s="1"/>
  <c r="D12" i="8"/>
  <c r="C39" i="8" s="1"/>
  <c r="D11" i="2" l="1"/>
  <c r="D13" i="2" s="1"/>
  <c r="D25" i="8"/>
  <c r="C40" i="8" s="1"/>
  <c r="D12" i="2" l="1"/>
  <c r="D39" i="8"/>
  <c r="D38" i="8" l="1"/>
  <c r="C14" i="2"/>
  <c r="D40" i="8"/>
  <c r="E39" i="8"/>
  <c r="F39" i="8" s="1"/>
  <c r="G39" i="8" s="1"/>
  <c r="H39" i="8" s="1"/>
  <c r="I39" i="8" s="1"/>
  <c r="E38" i="8" l="1"/>
  <c r="D14" i="2"/>
  <c r="E40" i="8"/>
  <c r="F40" i="8" s="1"/>
  <c r="G40" i="8" s="1"/>
  <c r="H40" i="8" s="1"/>
  <c r="F38" i="8" l="1"/>
  <c r="E14" i="2"/>
  <c r="I40" i="8"/>
  <c r="G38" i="8" l="1"/>
  <c r="F14" i="2"/>
  <c r="H38" i="8" l="1"/>
  <c r="G14" i="2"/>
  <c r="I38" i="8" l="1"/>
  <c r="I14" i="2" s="1"/>
  <c r="H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author>
  </authors>
  <commentList>
    <comment ref="L11" authorId="0" shapeId="0" xr:uid="{00000000-0006-0000-0100-000001000000}">
      <text>
        <r>
          <rPr>
            <b/>
            <sz val="8"/>
            <color indexed="45"/>
            <rFont val="Tahoma"/>
            <family val="2"/>
          </rPr>
          <t xml:space="preserve">Dit bedrag wordt op dezelfde manier berekend als de inspecteur deed in de genoemde casus 
Als uit de aanslag een ander bedrag blijkt, kunt u het berekende bedrag overschrijven met het bedrag uit de aanslag. </t>
        </r>
      </text>
    </comment>
    <comment ref="L13" authorId="0" shapeId="0" xr:uid="{00000000-0006-0000-0100-000002000000}">
      <text>
        <r>
          <rPr>
            <b/>
            <sz val="8"/>
            <color indexed="45"/>
            <rFont val="Tahoma"/>
            <family val="2"/>
          </rPr>
          <t>De Hoge Raad beperkt zich in overweging 3.2.5. van haar uitspraak tot de geschetste casus, waarin zowel het investeringsbedrag binnen de onderneming van de belastingplichtige als het bedrag van samengetelde investeringen binnen de bandbreedte voor het vaste bedrag van de KIA vallen.
Over andere situaties geeft de Hoge Raad geen uitsluitsel.</t>
        </r>
      </text>
    </comment>
    <comment ref="L26" authorId="0" shapeId="0" xr:uid="{00000000-0006-0000-0100-000003000000}">
      <text>
        <r>
          <rPr>
            <b/>
            <sz val="8"/>
            <color indexed="45"/>
            <rFont val="Tahoma"/>
            <family val="2"/>
          </rPr>
          <t>Dit bedrag wordt op dezelfde manier berekend als de inspecteur deed in het genoemde arrest.</t>
        </r>
      </text>
    </comment>
    <comment ref="L30" authorId="0" shapeId="0" xr:uid="{00000000-0006-0000-0100-000004000000}">
      <text>
        <r>
          <rPr>
            <b/>
            <sz val="8"/>
            <color indexed="45"/>
            <rFont val="Tahoma"/>
            <family val="2"/>
          </rPr>
          <t>Het Gerechtshof overweegt dat  de wetgever niet heeft voorzien in een aangepaste rekenregel. Hierdoor is het systeem niet meer in alle gevallen sluitend. Dit kan er volgens het Hof  niet toe leiden dat belanghebbende een lagere KIA ontvangt dan hem op grond van de wettekst toekomt.</t>
        </r>
      </text>
    </comment>
    <comment ref="L34" authorId="0" shapeId="0" xr:uid="{00000000-0006-0000-0100-000005000000}">
      <text>
        <r>
          <rPr>
            <b/>
            <sz val="8"/>
            <color indexed="45"/>
            <rFont val="Tahoma"/>
            <family val="2"/>
          </rPr>
          <t>De Hoge Raad beperkt zich in overweging 3.2.5. van haar uitspraak tot de geschetste casus, waarin zowel het investeringsbedrag binnen de onderneming van de belastingplichtige als het bedrag van samengetelde investeringen binnen de bandbreedte voor het vaste bedrag van de KIA vallen.
Over andere situaties geeft de Hoge Raad geen uitsluitsel.</t>
        </r>
      </text>
    </comment>
  </commentList>
</comments>
</file>

<file path=xl/sharedStrings.xml><?xml version="1.0" encoding="utf-8"?>
<sst xmlns="http://schemas.openxmlformats.org/spreadsheetml/2006/main" count="74" uniqueCount="55">
  <si>
    <t>i</t>
  </si>
  <si>
    <t>Reken het snel zelf uit!</t>
  </si>
  <si>
    <r>
      <t>}</t>
    </r>
    <r>
      <rPr>
        <b/>
        <sz val="9"/>
        <color indexed="45"/>
        <rFont val="Tahoma"/>
        <family val="2"/>
      </rPr>
      <t xml:space="preserve"> klik </t>
    </r>
    <r>
      <rPr>
        <b/>
        <u/>
        <sz val="9"/>
        <color indexed="45"/>
        <rFont val="tahoma"/>
        <family val="2"/>
      </rPr>
      <t>hier</t>
    </r>
  </si>
  <si>
    <r>
      <t>}</t>
    </r>
    <r>
      <rPr>
        <sz val="8"/>
        <color indexed="45"/>
        <rFont val="Tahoma"/>
        <family val="2"/>
      </rPr>
      <t xml:space="preserve"> </t>
    </r>
    <r>
      <rPr>
        <u/>
        <sz val="8"/>
        <color indexed="45"/>
        <rFont val="Tahoma"/>
        <family val="2"/>
      </rPr>
      <t>copyright</t>
    </r>
  </si>
  <si>
    <r>
      <t>}</t>
    </r>
    <r>
      <rPr>
        <sz val="8"/>
        <color indexed="45"/>
        <rFont val="Tahoma"/>
        <family val="2"/>
      </rPr>
      <t xml:space="preserve"> </t>
    </r>
    <r>
      <rPr>
        <u/>
        <sz val="8"/>
        <color indexed="45"/>
        <rFont val="Tahoma"/>
        <family val="2"/>
      </rPr>
      <t>disclaimer</t>
    </r>
  </si>
  <si>
    <t>Ç</t>
  </si>
  <si>
    <t>Å</t>
  </si>
  <si>
    <t>Æ</t>
  </si>
  <si>
    <t>meer dan …</t>
  </si>
  <si>
    <t>… maar niet meer dan</t>
  </si>
  <si>
    <r>
      <t xml:space="preserve">Schootense Dreef 31 </t>
    </r>
    <r>
      <rPr>
        <sz val="9"/>
        <color indexed="45"/>
        <rFont val="Wingdings"/>
        <charset val="2"/>
      </rPr>
      <t>§</t>
    </r>
    <r>
      <rPr>
        <sz val="9"/>
        <color indexed="45"/>
        <rFont val="tahoma"/>
        <family val="2"/>
      </rPr>
      <t xml:space="preserve"> 5708 HZ Helmond </t>
    </r>
    <r>
      <rPr>
        <sz val="9"/>
        <color indexed="45"/>
        <rFont val="Wingdings"/>
        <charset val="2"/>
      </rPr>
      <t>§</t>
    </r>
    <r>
      <rPr>
        <sz val="9"/>
        <color indexed="45"/>
        <rFont val="tahoma"/>
        <family val="2"/>
      </rPr>
      <t xml:space="preserve"> </t>
    </r>
    <r>
      <rPr>
        <u/>
        <sz val="9"/>
        <color indexed="45"/>
        <rFont val="tahoma"/>
        <family val="2"/>
      </rPr>
      <t>e-mail de Klantenservice</t>
    </r>
  </si>
  <si>
    <t>Gegevens: vul de rode vakjes in</t>
  </si>
  <si>
    <t>}</t>
  </si>
  <si>
    <t>De KIA is 28% van de investeringen</t>
  </si>
  <si>
    <t>Tabel</t>
  </si>
  <si>
    <t>schijf 1</t>
  </si>
  <si>
    <t>schijf 2</t>
  </si>
  <si>
    <t>schijf 3</t>
  </si>
  <si>
    <t>schijf 4</t>
  </si>
  <si>
    <t>schijf 5</t>
  </si>
  <si>
    <t>Opbouw</t>
  </si>
  <si>
    <t>Afbouw</t>
  </si>
  <si>
    <t>Constante</t>
  </si>
  <si>
    <t>Schijfgrens</t>
  </si>
  <si>
    <t>Investeringen samenwerkingsverband</t>
  </si>
  <si>
    <t>Investeringen buitenvennootschappelijk</t>
  </si>
  <si>
    <t>Aantal maten/vennoten</t>
  </si>
  <si>
    <t>Geen KIA &lt; 2300</t>
  </si>
  <si>
    <t>Afbouw tot nul</t>
  </si>
  <si>
    <t>Geen KIA &gt; 300000</t>
  </si>
  <si>
    <t>Constante (circa 15000)</t>
  </si>
  <si>
    <t>Investeringsbedrag vennoot</t>
  </si>
  <si>
    <t>KIA vennoot</t>
  </si>
  <si>
    <t>Resultaat</t>
  </si>
  <si>
    <t>Verschil</t>
  </si>
  <si>
    <t>Berekening van de KIA volgens inspecteur</t>
  </si>
  <si>
    <t>Totaal investeringen</t>
  </si>
  <si>
    <t>Toelichting</t>
  </si>
  <si>
    <t>Berekening voordeel Kleinschaligheidsinvesteringsaftrek (KIA)</t>
  </si>
  <si>
    <t>De KIA volgens de inspecteur</t>
  </si>
  <si>
    <t>Totaalbedrag aan investeringen is:</t>
  </si>
  <si>
    <t>investeringsaftrek</t>
  </si>
  <si>
    <t>Totaal investeringen vennoot</t>
  </si>
  <si>
    <t>Berekening voordeel KIA volgens uitspraak van de Hoge Raad</t>
  </si>
  <si>
    <t>Volgens de berekeningswijze als omschreven in ECLI:NL:HR:2019:785</t>
  </si>
  <si>
    <t>volgens uitspraak van de Hoge Raad (ECLI:NL:HR:2019:785)</t>
  </si>
  <si>
    <t>De KIA volgens de Hoge Raad (overweging 3.2.5.)</t>
  </si>
  <si>
    <t>Redactioneel bijgewerkt tot 1 juni 2019</t>
  </si>
  <si>
    <t>De KIA volgens Gerechtshof 's-Hertogenbosch</t>
  </si>
  <si>
    <t>Selecteer een jaar</t>
  </si>
  <si>
    <t>De KIA is € 0</t>
  </si>
  <si>
    <t>Opbouw tot circa 15000</t>
  </si>
  <si>
    <t>KIA-% t.o.v. TOTAAL</t>
  </si>
  <si>
    <t>Berekening van de KIA volgens hof</t>
  </si>
  <si>
    <t>Totaal investeringen samenw. plus buitenv.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</si>
</sst>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44" formatCode="_ &quot;€&quot;\ * #,##0.00_ ;_ &quot;€&quot;\ * \-#,##0.00_ ;_ &quot;€&quot;\ * &quot;-&quot;??_ ;_ @_ "/>
    <numFmt numFmtId="164" formatCode="[$€-2]\ #,##0.00"/>
    <numFmt numFmtId="165" formatCode="_-* #,##0.00\ [$€-1]_-;\-* #,##0.00\ [$€-1]_-;_-* &quot;-&quot;??\ [$€-1]_-"/>
    <numFmt numFmtId="166" formatCode="[$€-413]\ #,##0"/>
    <numFmt numFmtId="167" formatCode="&quot;€&quot;\ #,##0"/>
    <numFmt numFmtId="168" formatCode="[$€-413]\ #,##0;[$€-413]\ \-#,##0"/>
  </numFmts>
  <fonts count="41">
    <font>
      <sz val="9"/>
      <color indexed="8"/>
      <name val="Tahoma"/>
      <family val="2"/>
    </font>
    <font>
      <sz val="8"/>
      <name val="Tahoma"/>
      <family val="2"/>
    </font>
    <font>
      <sz val="10"/>
      <name val="Univers"/>
      <family val="2"/>
    </font>
    <font>
      <u/>
      <sz val="10"/>
      <color indexed="36"/>
      <name val="Tahoma"/>
      <family val="2"/>
    </font>
    <font>
      <sz val="9"/>
      <color indexed="16"/>
      <name val="tahoma"/>
      <family val="2"/>
    </font>
    <font>
      <b/>
      <sz val="12"/>
      <color indexed="16"/>
      <name val="Tahoma"/>
      <family val="2"/>
    </font>
    <font>
      <b/>
      <sz val="12"/>
      <color indexed="14"/>
      <name val="Tahoma"/>
      <family val="2"/>
    </font>
    <font>
      <sz val="12"/>
      <color indexed="19"/>
      <name val="Wingdings 3"/>
      <family val="1"/>
    </font>
    <font>
      <b/>
      <sz val="9"/>
      <color indexed="45"/>
      <name val="Tahoma"/>
      <family val="2"/>
    </font>
    <font>
      <b/>
      <u/>
      <sz val="9"/>
      <color indexed="45"/>
      <name val="tahoma"/>
      <family val="2"/>
    </font>
    <font>
      <b/>
      <sz val="9"/>
      <color indexed="45"/>
      <name val="Wingdings 3"/>
      <family val="1"/>
    </font>
    <font>
      <sz val="8"/>
      <color indexed="45"/>
      <name val="Tahoma"/>
      <family val="2"/>
    </font>
    <font>
      <u/>
      <sz val="8"/>
      <color indexed="45"/>
      <name val="Tahoma"/>
      <family val="2"/>
    </font>
    <font>
      <sz val="8"/>
      <color indexed="45"/>
      <name val="Wingdings 3"/>
      <family val="1"/>
    </font>
    <font>
      <sz val="9"/>
      <color indexed="45"/>
      <name val="Wingdings"/>
      <charset val="2"/>
    </font>
    <font>
      <sz val="9"/>
      <color indexed="45"/>
      <name val="tahoma"/>
      <family val="2"/>
    </font>
    <font>
      <u/>
      <sz val="9"/>
      <color indexed="45"/>
      <name val="tahoma"/>
      <family val="2"/>
    </font>
    <font>
      <u/>
      <sz val="9"/>
      <name val="tahoma"/>
      <family val="2"/>
    </font>
    <font>
      <b/>
      <sz val="8"/>
      <color indexed="45"/>
      <name val="Tahoma"/>
      <family val="2"/>
    </font>
    <font>
      <b/>
      <sz val="9"/>
      <color indexed="9"/>
      <name val="tahoma"/>
      <family val="2"/>
    </font>
    <font>
      <sz val="9"/>
      <name val="tahoma"/>
      <family val="2"/>
    </font>
    <font>
      <b/>
      <sz val="9"/>
      <name val="Tahoma"/>
      <family val="2"/>
    </font>
    <font>
      <sz val="10"/>
      <name val="Tahoma"/>
      <family val="2"/>
    </font>
    <font>
      <sz val="7"/>
      <name val="Small Fonts"/>
      <family val="2"/>
    </font>
    <font>
      <sz val="20"/>
      <color indexed="45"/>
      <name val="Wingdings 3"/>
      <family val="1"/>
    </font>
    <font>
      <sz val="20"/>
      <color indexed="53"/>
      <name val="Webdings"/>
      <family val="1"/>
    </font>
    <font>
      <sz val="20"/>
      <color indexed="53"/>
      <name val="Wingdings 3"/>
      <family val="1"/>
    </font>
    <font>
      <sz val="7"/>
      <name val="Tahoma"/>
      <family val="2"/>
    </font>
    <font>
      <b/>
      <sz val="9"/>
      <color indexed="21"/>
      <name val="Tahoma"/>
      <family val="2"/>
    </font>
    <font>
      <b/>
      <sz val="8"/>
      <name val="Tahoma"/>
      <family val="2"/>
    </font>
    <font>
      <sz val="2.5"/>
      <color indexed="47"/>
      <name val="Small Fonts"/>
      <family val="2"/>
    </font>
    <font>
      <sz val="9"/>
      <color rgb="FFFF0000"/>
      <name val="Wingdings 3"/>
      <family val="1"/>
      <charset val="2"/>
    </font>
    <font>
      <b/>
      <sz val="9"/>
      <color theme="1" tint="0.249977111117893"/>
      <name val="Tahoma"/>
      <family val="2"/>
    </font>
    <font>
      <b/>
      <sz val="9"/>
      <color rgb="FFFF0000"/>
      <name val="Tahoma"/>
      <family val="2"/>
    </font>
    <font>
      <b/>
      <sz val="18"/>
      <color theme="0"/>
      <name val="tahoma"/>
      <family val="2"/>
    </font>
    <font>
      <sz val="9"/>
      <color indexed="8"/>
      <name val="Tahoma"/>
      <family val="2"/>
    </font>
    <font>
      <b/>
      <sz val="9"/>
      <color theme="0"/>
      <name val="Tahoma"/>
      <family val="2"/>
    </font>
    <font>
      <sz val="18"/>
      <color rgb="FFFF0000"/>
      <name val="tahoma"/>
      <family val="2"/>
    </font>
    <font>
      <b/>
      <sz val="8"/>
      <color rgb="FFFF0000"/>
      <name val="tahoma"/>
      <family val="2"/>
    </font>
    <font>
      <sz val="14"/>
      <color indexed="45"/>
      <name val="Webdings"/>
      <family val="1"/>
      <charset val="2"/>
    </font>
    <font>
      <sz val="14"/>
      <name val="Calibri"/>
      <family val="2"/>
    </font>
  </fonts>
  <fills count="18">
    <fill>
      <patternFill patternType="none"/>
    </fill>
    <fill>
      <patternFill patternType="gray125"/>
    </fill>
    <fill>
      <patternFill patternType="solid">
        <fgColor indexed="16"/>
        <bgColor indexed="21"/>
      </patternFill>
    </fill>
    <fill>
      <patternFill patternType="solid">
        <fgColor indexed="8"/>
        <bgColor indexed="64"/>
      </patternFill>
    </fill>
    <fill>
      <patternFill patternType="lightGray">
        <fgColor indexed="19"/>
        <bgColor indexed="8"/>
      </patternFill>
    </fill>
    <fill>
      <patternFill patternType="solid">
        <fgColor indexed="45"/>
        <bgColor indexed="64"/>
      </patternFill>
    </fill>
    <fill>
      <patternFill patternType="solid">
        <fgColor indexed="16"/>
        <bgColor indexed="64"/>
      </patternFill>
    </fill>
    <fill>
      <patternFill patternType="mediumGray">
        <fgColor indexed="8"/>
        <bgColor indexed="16"/>
      </patternFill>
    </fill>
    <fill>
      <patternFill patternType="solid">
        <fgColor indexed="47"/>
        <bgColor indexed="64"/>
      </patternFill>
    </fill>
    <fill>
      <patternFill patternType="solid">
        <fgColor indexed="14"/>
        <bgColor indexed="64"/>
      </patternFill>
    </fill>
    <fill>
      <patternFill patternType="solid">
        <fgColor indexed="53"/>
        <bgColor indexed="64"/>
      </patternFill>
    </fill>
    <fill>
      <patternFill patternType="solid">
        <fgColor indexed="21"/>
        <bgColor indexed="8"/>
      </patternFill>
    </fill>
    <fill>
      <patternFill patternType="solid">
        <fgColor rgb="FFFF000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34998626667073579"/>
        <bgColor indexed="64"/>
      </patternFill>
    </fill>
  </fills>
  <borders count="22">
    <border>
      <left/>
      <right/>
      <top/>
      <bottom/>
      <diagonal/>
    </border>
    <border>
      <left style="medium">
        <color indexed="17"/>
      </left>
      <right style="medium">
        <color indexed="17"/>
      </right>
      <top style="medium">
        <color indexed="17"/>
      </top>
      <bottom/>
      <diagonal/>
    </border>
    <border>
      <left style="medium">
        <color indexed="47"/>
      </left>
      <right/>
      <top/>
      <bottom/>
      <diagonal/>
    </border>
    <border>
      <left/>
      <right style="medium">
        <color indexed="47"/>
      </right>
      <top/>
      <bottom/>
      <diagonal/>
    </border>
    <border>
      <left style="thin">
        <color indexed="45"/>
      </left>
      <right style="thin">
        <color indexed="45"/>
      </right>
      <top style="thin">
        <color indexed="45"/>
      </top>
      <bottom style="thin">
        <color indexed="45"/>
      </bottom>
      <diagonal/>
    </border>
    <border>
      <left style="thin">
        <color indexed="9"/>
      </left>
      <right style="thin">
        <color indexed="9"/>
      </right>
      <top/>
      <bottom style="thin">
        <color indexed="9"/>
      </bottom>
      <diagonal/>
    </border>
    <border>
      <left style="thin">
        <color indexed="45"/>
      </left>
      <right/>
      <top style="thin">
        <color indexed="45"/>
      </top>
      <bottom style="thin">
        <color indexed="45"/>
      </bottom>
      <diagonal/>
    </border>
    <border>
      <left/>
      <right/>
      <top style="thin">
        <color indexed="45"/>
      </top>
      <bottom style="thin">
        <color indexed="45"/>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right style="thin">
        <color indexed="45"/>
      </right>
      <top style="thin">
        <color indexed="45"/>
      </top>
      <bottom style="thin">
        <color indexed="45"/>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indexed="45"/>
      </left>
      <right style="thin">
        <color indexed="45"/>
      </right>
      <top style="thin">
        <color indexed="45"/>
      </top>
      <bottom/>
      <diagonal/>
    </border>
    <border>
      <left style="thin">
        <color indexed="9"/>
      </left>
      <right/>
      <top/>
      <bottom/>
      <diagonal/>
    </border>
    <border>
      <left/>
      <right/>
      <top/>
      <bottom style="thin">
        <color theme="0"/>
      </bottom>
      <diagonal/>
    </border>
  </borders>
  <cellStyleXfs count="5">
    <xf numFmtId="0" fontId="0" fillId="0" borderId="0">
      <alignment vertical="center"/>
    </xf>
    <xf numFmtId="165" fontId="2" fillId="0" borderId="0" applyFont="0" applyFill="0" applyBorder="0" applyAlignment="0" applyProtection="0"/>
    <xf numFmtId="0" fontId="3" fillId="0" borderId="0" applyNumberFormat="0" applyFont="0" applyFill="0" applyBorder="0" applyAlignment="0" applyProtection="0">
      <alignment vertical="top"/>
      <protection locked="0"/>
    </xf>
    <xf numFmtId="0" fontId="3" fillId="0" borderId="0" applyNumberFormat="0" applyFont="0" applyFill="0" applyBorder="0" applyAlignment="0" applyProtection="0">
      <alignment vertical="top"/>
      <protection locked="0"/>
    </xf>
    <xf numFmtId="9" fontId="35" fillId="0" borderId="0" applyFont="0" applyFill="0" applyBorder="0" applyAlignment="0" applyProtection="0"/>
  </cellStyleXfs>
  <cellXfs count="132">
    <xf numFmtId="0" fontId="0" fillId="0" borderId="0" xfId="0">
      <alignment vertical="center"/>
    </xf>
    <xf numFmtId="0" fontId="17" fillId="0" borderId="0" xfId="0" applyFont="1" applyFill="1" applyAlignment="1">
      <alignment vertical="center"/>
    </xf>
    <xf numFmtId="0" fontId="8" fillId="2" borderId="0" xfId="0" applyFont="1" applyFill="1" applyBorder="1" applyAlignment="1">
      <alignment horizontal="left" vertical="center" indent="1"/>
    </xf>
    <xf numFmtId="0" fontId="0" fillId="2" borderId="0" xfId="0" applyFill="1" applyAlignment="1">
      <alignment vertical="center"/>
    </xf>
    <xf numFmtId="0" fontId="0" fillId="2" borderId="0" xfId="0" applyFill="1" applyBorder="1" applyAlignment="1">
      <alignment vertical="center"/>
    </xf>
    <xf numFmtId="0" fontId="7" fillId="0" borderId="0" xfId="0" applyFont="1" applyFill="1" applyBorder="1" applyAlignment="1">
      <alignment vertical="top"/>
    </xf>
    <xf numFmtId="0" fontId="6" fillId="0" borderId="0" xfId="0" applyFont="1" applyFill="1" applyBorder="1" applyAlignment="1">
      <alignment vertical="top"/>
    </xf>
    <xf numFmtId="0" fontId="6" fillId="0" borderId="0" xfId="0" applyFont="1" applyFill="1" applyBorder="1" applyAlignment="1">
      <alignment horizontal="left" vertical="top" indent="3"/>
    </xf>
    <xf numFmtId="0" fontId="5" fillId="0" borderId="0" xfId="0" applyFont="1" applyFill="1" applyBorder="1" applyAlignment="1">
      <alignment vertical="top"/>
    </xf>
    <xf numFmtId="0" fontId="5" fillId="0" borderId="0" xfId="0" applyFont="1" applyFill="1" applyBorder="1" applyAlignment="1">
      <alignment horizontal="left" vertical="top" indent="3"/>
    </xf>
    <xf numFmtId="0" fontId="0" fillId="0" borderId="0" xfId="0" applyFill="1" applyBorder="1" applyAlignment="1">
      <alignment vertical="center"/>
    </xf>
    <xf numFmtId="0" fontId="0" fillId="0" borderId="0" xfId="0" applyFill="1" applyAlignment="1">
      <alignment vertical="center"/>
    </xf>
    <xf numFmtId="0" fontId="0" fillId="3" borderId="0" xfId="0" applyFill="1" applyAlignment="1">
      <alignment vertical="center"/>
    </xf>
    <xf numFmtId="0" fontId="4" fillId="4" borderId="0" xfId="0" applyFont="1" applyFill="1" applyAlignment="1">
      <alignment vertical="center"/>
    </xf>
    <xf numFmtId="0" fontId="22" fillId="5" borderId="0" xfId="0" applyFont="1" applyFill="1" applyBorder="1" applyAlignment="1" applyProtection="1">
      <protection hidden="1"/>
    </xf>
    <xf numFmtId="0" fontId="23" fillId="5" borderId="0" xfId="0" applyFont="1" applyFill="1" applyBorder="1" applyAlignment="1" applyProtection="1">
      <alignment horizontal="center"/>
      <protection hidden="1"/>
    </xf>
    <xf numFmtId="0" fontId="24" fillId="6" borderId="1" xfId="2" applyFont="1" applyFill="1" applyBorder="1" applyAlignment="1" applyProtection="1">
      <alignment horizontal="center" vertical="center"/>
      <protection hidden="1"/>
    </xf>
    <xf numFmtId="0" fontId="25" fillId="7" borderId="1" xfId="0" applyFont="1" applyFill="1" applyBorder="1" applyAlignment="1" applyProtection="1">
      <alignment horizontal="center" vertical="center"/>
      <protection hidden="1"/>
    </xf>
    <xf numFmtId="0" fontId="26" fillId="7" borderId="1" xfId="0" applyFont="1" applyFill="1" applyBorder="1" applyAlignment="1" applyProtection="1">
      <alignment horizontal="center" vertical="center"/>
      <protection hidden="1"/>
    </xf>
    <xf numFmtId="0" fontId="0" fillId="8" borderId="2" xfId="0" applyFill="1" applyBorder="1" applyAlignment="1" applyProtection="1">
      <alignment vertical="center"/>
      <protection hidden="1"/>
    </xf>
    <xf numFmtId="0" fontId="0" fillId="8" borderId="0" xfId="0" applyFill="1" applyBorder="1" applyAlignment="1" applyProtection="1">
      <alignment vertical="center"/>
      <protection hidden="1"/>
    </xf>
    <xf numFmtId="0" fontId="0" fillId="8" borderId="3" xfId="0" applyFill="1" applyBorder="1" applyAlignment="1" applyProtection="1">
      <alignment vertical="center"/>
      <protection hidden="1"/>
    </xf>
    <xf numFmtId="0" fontId="0" fillId="8" borderId="0" xfId="0" applyFill="1" applyAlignment="1" applyProtection="1">
      <alignment vertical="center"/>
      <protection hidden="1"/>
    </xf>
    <xf numFmtId="0" fontId="27" fillId="8" borderId="0" xfId="0" applyFont="1" applyFill="1" applyBorder="1" applyAlignment="1" applyProtection="1">
      <alignment vertical="center"/>
      <protection hidden="1"/>
    </xf>
    <xf numFmtId="0" fontId="20" fillId="0" borderId="0" xfId="0" applyFont="1" applyAlignment="1" applyProtection="1">
      <alignment vertical="center"/>
      <protection hidden="1"/>
    </xf>
    <xf numFmtId="0" fontId="20" fillId="8" borderId="0" xfId="0" applyFont="1" applyFill="1" applyAlignment="1" applyProtection="1">
      <alignment vertical="center"/>
      <protection hidden="1"/>
    </xf>
    <xf numFmtId="44" fontId="20" fillId="0" borderId="0" xfId="0" applyNumberFormat="1" applyFont="1" applyAlignment="1" applyProtection="1">
      <alignment vertical="center"/>
      <protection hidden="1"/>
    </xf>
    <xf numFmtId="44" fontId="30" fillId="8" borderId="0" xfId="0" applyNumberFormat="1" applyFont="1" applyFill="1" applyBorder="1" applyAlignment="1" applyProtection="1">
      <alignment vertical="center"/>
      <protection hidden="1"/>
    </xf>
    <xf numFmtId="0" fontId="20" fillId="0" borderId="0" xfId="0" applyFont="1" applyFill="1" applyAlignment="1" applyProtection="1">
      <alignment vertical="center"/>
      <protection hidden="1"/>
    </xf>
    <xf numFmtId="164" fontId="28" fillId="0" borderId="0" xfId="0" applyNumberFormat="1" applyFont="1" applyFill="1" applyBorder="1" applyAlignment="1" applyProtection="1">
      <alignment horizontal="left" vertical="center"/>
      <protection hidden="1"/>
    </xf>
    <xf numFmtId="0" fontId="31" fillId="0" borderId="0" xfId="0" applyFont="1" applyAlignment="1" applyProtection="1">
      <alignment horizontal="right" vertical="center"/>
      <protection hidden="1"/>
    </xf>
    <xf numFmtId="0" fontId="33" fillId="0" borderId="0" xfId="0" applyFont="1" applyFill="1" applyBorder="1" applyAlignment="1">
      <alignment horizontal="right" vertical="center"/>
    </xf>
    <xf numFmtId="0" fontId="20" fillId="0" borderId="0" xfId="0" applyFont="1">
      <alignment vertical="center"/>
    </xf>
    <xf numFmtId="11" fontId="20" fillId="0" borderId="0" xfId="0" applyNumberFormat="1" applyFont="1">
      <alignment vertical="center"/>
    </xf>
    <xf numFmtId="9" fontId="20" fillId="0" borderId="0" xfId="0" applyNumberFormat="1" applyFont="1">
      <alignment vertical="center"/>
    </xf>
    <xf numFmtId="10" fontId="20" fillId="0" borderId="0" xfId="0" applyNumberFormat="1" applyFont="1">
      <alignment vertical="center"/>
    </xf>
    <xf numFmtId="1" fontId="20" fillId="0" borderId="0" xfId="0" applyNumberFormat="1" applyFont="1">
      <alignment vertical="center"/>
    </xf>
    <xf numFmtId="0" fontId="21" fillId="0" borderId="0" xfId="0" applyFont="1">
      <alignment vertical="center"/>
    </xf>
    <xf numFmtId="44" fontId="20" fillId="0" borderId="0" xfId="0" applyNumberFormat="1" applyFont="1">
      <alignment vertical="center"/>
    </xf>
    <xf numFmtId="166" fontId="20" fillId="0" borderId="0" xfId="0" applyNumberFormat="1" applyFont="1">
      <alignment vertical="center"/>
    </xf>
    <xf numFmtId="0" fontId="21" fillId="0" borderId="15" xfId="0" applyFont="1" applyFill="1" applyBorder="1" applyAlignment="1" applyProtection="1">
      <alignment horizontal="left" vertical="center" indent="1"/>
      <protection hidden="1"/>
    </xf>
    <xf numFmtId="0" fontId="29" fillId="16" borderId="16" xfId="0" applyFont="1" applyFill="1" applyBorder="1" applyAlignment="1" applyProtection="1">
      <alignment horizontal="right" vertical="center" indent="1"/>
      <protection hidden="1"/>
    </xf>
    <xf numFmtId="0" fontId="29" fillId="16" borderId="17" xfId="0" applyFont="1" applyFill="1" applyBorder="1" applyAlignment="1" applyProtection="1">
      <alignment horizontal="right" vertical="center"/>
      <protection hidden="1"/>
    </xf>
    <xf numFmtId="0" fontId="29" fillId="16" borderId="15" xfId="0" applyFont="1" applyFill="1" applyBorder="1" applyAlignment="1" applyProtection="1">
      <alignment horizontal="right" vertical="center" indent="1"/>
      <protection hidden="1"/>
    </xf>
    <xf numFmtId="10" fontId="20" fillId="0" borderId="0" xfId="4" applyNumberFormat="1" applyFont="1" applyAlignment="1">
      <alignment vertical="center"/>
    </xf>
    <xf numFmtId="44" fontId="21" fillId="15" borderId="0" xfId="0" applyNumberFormat="1" applyFont="1" applyFill="1" applyBorder="1">
      <alignment vertical="center"/>
    </xf>
    <xf numFmtId="44" fontId="20" fillId="0" borderId="0" xfId="0" applyNumberFormat="1" applyFont="1" applyBorder="1">
      <alignment vertical="center"/>
    </xf>
    <xf numFmtId="44" fontId="20" fillId="15" borderId="0" xfId="0" applyNumberFormat="1" applyFont="1" applyFill="1" applyBorder="1">
      <alignment vertical="center"/>
    </xf>
    <xf numFmtId="167" fontId="20" fillId="15" borderId="0" xfId="0" applyNumberFormat="1" applyFont="1" applyFill="1" applyBorder="1" applyAlignment="1" applyProtection="1">
      <alignment horizontal="right" vertical="center"/>
      <protection hidden="1"/>
    </xf>
    <xf numFmtId="44" fontId="20" fillId="16" borderId="0" xfId="0" applyNumberFormat="1" applyFont="1" applyFill="1" applyBorder="1">
      <alignment vertical="center"/>
    </xf>
    <xf numFmtId="0" fontId="20" fillId="0" borderId="0" xfId="0" applyFont="1" applyBorder="1">
      <alignment vertical="center"/>
    </xf>
    <xf numFmtId="164" fontId="21" fillId="14" borderId="0" xfId="0" applyNumberFormat="1" applyFont="1" applyFill="1" applyBorder="1" applyAlignment="1" applyProtection="1">
      <alignment horizontal="left" vertical="center"/>
      <protection hidden="1"/>
    </xf>
    <xf numFmtId="44" fontId="20" fillId="14" borderId="0" xfId="0" applyNumberFormat="1" applyFont="1" applyFill="1" applyBorder="1">
      <alignment vertical="center"/>
    </xf>
    <xf numFmtId="167" fontId="21" fillId="14" borderId="0" xfId="0" applyNumberFormat="1" applyFont="1" applyFill="1" applyBorder="1" applyAlignment="1" applyProtection="1">
      <alignment horizontal="right" vertical="center"/>
      <protection hidden="1"/>
    </xf>
    <xf numFmtId="0" fontId="1" fillId="0" borderId="14" xfId="0" applyFont="1" applyFill="1" applyBorder="1" applyAlignment="1" applyProtection="1">
      <alignment horizontal="center" vertical="center"/>
      <protection hidden="1"/>
    </xf>
    <xf numFmtId="0" fontId="1" fillId="0" borderId="4" xfId="0" applyFont="1" applyFill="1" applyBorder="1" applyAlignment="1" applyProtection="1">
      <alignment horizontal="center" vertical="center"/>
      <protection hidden="1"/>
    </xf>
    <xf numFmtId="44" fontId="20" fillId="0" borderId="5" xfId="0" applyNumberFormat="1" applyFont="1" applyFill="1" applyBorder="1" applyAlignment="1" applyProtection="1">
      <alignment horizontal="right" vertical="center"/>
      <protection hidden="1"/>
    </xf>
    <xf numFmtId="44" fontId="20" fillId="0" borderId="5" xfId="0" applyNumberFormat="1" applyFont="1" applyFill="1" applyBorder="1" applyAlignment="1" applyProtection="1">
      <alignment vertical="center"/>
      <protection hidden="1"/>
    </xf>
    <xf numFmtId="42" fontId="21" fillId="0" borderId="4" xfId="0" applyNumberFormat="1" applyFont="1" applyFill="1" applyBorder="1" applyAlignment="1" applyProtection="1">
      <alignment horizontal="right" vertical="center"/>
      <protection hidden="1"/>
    </xf>
    <xf numFmtId="167" fontId="20" fillId="15" borderId="0" xfId="0" applyNumberFormat="1" applyFont="1" applyFill="1" applyBorder="1" applyAlignment="1">
      <alignment horizontal="right" vertical="center"/>
    </xf>
    <xf numFmtId="167" fontId="20" fillId="16" borderId="0" xfId="0" applyNumberFormat="1" applyFont="1" applyFill="1" applyBorder="1" applyAlignment="1" applyProtection="1">
      <alignment horizontal="right" vertical="center"/>
      <protection hidden="1"/>
    </xf>
    <xf numFmtId="0" fontId="21" fillId="15" borderId="0" xfId="0" applyFont="1" applyFill="1" applyBorder="1" applyAlignment="1" applyProtection="1">
      <alignment horizontal="right" vertical="center"/>
      <protection hidden="1"/>
    </xf>
    <xf numFmtId="10" fontId="20" fillId="16" borderId="0" xfId="4" applyNumberFormat="1" applyFont="1" applyFill="1" applyBorder="1" applyAlignment="1">
      <alignment horizontal="right" vertical="center"/>
    </xf>
    <xf numFmtId="0" fontId="20" fillId="0" borderId="0" xfId="0" applyFont="1" applyBorder="1" applyAlignment="1">
      <alignment horizontal="right" vertical="center"/>
    </xf>
    <xf numFmtId="0" fontId="21" fillId="14" borderId="0" xfId="0" applyFont="1" applyFill="1" applyBorder="1" applyAlignment="1" applyProtection="1">
      <alignment horizontal="right" vertical="center"/>
      <protection hidden="1"/>
    </xf>
    <xf numFmtId="0" fontId="20" fillId="0" borderId="0" xfId="0" applyFont="1" applyFill="1">
      <alignment vertical="center"/>
    </xf>
    <xf numFmtId="0" fontId="29" fillId="0" borderId="14" xfId="0" applyFont="1" applyFill="1" applyBorder="1" applyAlignment="1" applyProtection="1">
      <alignment horizontal="center" vertical="center"/>
      <protection hidden="1"/>
    </xf>
    <xf numFmtId="0" fontId="29" fillId="0" borderId="6" xfId="0" applyFont="1" applyFill="1" applyBorder="1" applyAlignment="1" applyProtection="1">
      <alignment horizontal="center" vertical="center"/>
      <protection hidden="1"/>
    </xf>
    <xf numFmtId="167" fontId="20" fillId="0" borderId="0" xfId="0" applyNumberFormat="1" applyFont="1" applyFill="1">
      <alignment vertical="center"/>
    </xf>
    <xf numFmtId="0" fontId="1" fillId="0" borderId="6" xfId="0" applyFont="1" applyFill="1" applyBorder="1" applyAlignment="1" applyProtection="1">
      <alignment horizontal="center" vertical="center"/>
      <protection hidden="1"/>
    </xf>
    <xf numFmtId="44" fontId="21" fillId="16" borderId="0" xfId="0" applyNumberFormat="1" applyFont="1" applyFill="1" applyBorder="1">
      <alignment vertical="center"/>
    </xf>
    <xf numFmtId="167" fontId="21" fillId="16" borderId="0" xfId="0" applyNumberFormat="1" applyFont="1" applyFill="1" applyBorder="1" applyAlignment="1">
      <alignment horizontal="right" vertical="center"/>
    </xf>
    <xf numFmtId="167" fontId="21" fillId="16" borderId="0" xfId="0" applyNumberFormat="1" applyFont="1" applyFill="1" applyBorder="1" applyAlignment="1" applyProtection="1">
      <alignment horizontal="right" vertical="center"/>
      <protection hidden="1"/>
    </xf>
    <xf numFmtId="42" fontId="21" fillId="0" borderId="0" xfId="0" applyNumberFormat="1" applyFont="1" applyFill="1" applyBorder="1" applyAlignment="1" applyProtection="1">
      <alignment horizontal="right" vertical="center"/>
      <protection hidden="1"/>
    </xf>
    <xf numFmtId="10" fontId="20" fillId="16" borderId="0" xfId="4" applyNumberFormat="1" applyFont="1" applyFill="1" applyBorder="1" applyAlignment="1" applyProtection="1">
      <alignment horizontal="right" vertical="center"/>
      <protection hidden="1"/>
    </xf>
    <xf numFmtId="44" fontId="21" fillId="14" borderId="0" xfId="0" applyNumberFormat="1" applyFont="1" applyFill="1" applyBorder="1">
      <alignment vertical="center"/>
    </xf>
    <xf numFmtId="167" fontId="21" fillId="14" borderId="0" xfId="0" applyNumberFormat="1" applyFont="1" applyFill="1" applyBorder="1" applyAlignment="1">
      <alignment horizontal="right" vertical="center"/>
    </xf>
    <xf numFmtId="0" fontId="21" fillId="0" borderId="0" xfId="0" applyFont="1" applyFill="1">
      <alignment vertical="center"/>
    </xf>
    <xf numFmtId="166" fontId="20" fillId="15" borderId="16" xfId="0" applyNumberFormat="1" applyFont="1" applyFill="1" applyBorder="1" applyAlignment="1" applyProtection="1">
      <alignment horizontal="right" vertical="center" indent="1"/>
      <protection locked="0" hidden="1"/>
    </xf>
    <xf numFmtId="0" fontId="37" fillId="0" borderId="0" xfId="0" applyFont="1" applyAlignment="1" applyProtection="1">
      <alignment vertical="center"/>
      <protection hidden="1"/>
    </xf>
    <xf numFmtId="0" fontId="34" fillId="0" borderId="0" xfId="0" applyFont="1" applyFill="1" applyAlignment="1" applyProtection="1">
      <alignment vertical="center"/>
      <protection hidden="1"/>
    </xf>
    <xf numFmtId="0" fontId="38" fillId="0" borderId="0" xfId="3" applyFont="1" applyAlignment="1" applyProtection="1">
      <alignment vertical="center"/>
      <protection hidden="1"/>
    </xf>
    <xf numFmtId="0" fontId="20" fillId="0" borderId="8" xfId="0" applyFont="1" applyFill="1" applyBorder="1" applyAlignment="1" applyProtection="1">
      <alignment horizontal="left" vertical="center" indent="1"/>
      <protection hidden="1"/>
    </xf>
    <xf numFmtId="0" fontId="20" fillId="0" borderId="15" xfId="0" applyFont="1" applyFill="1" applyBorder="1" applyAlignment="1" applyProtection="1">
      <alignment horizontal="left" vertical="center" indent="1"/>
      <protection hidden="1"/>
    </xf>
    <xf numFmtId="166" fontId="20" fillId="15" borderId="16" xfId="0" applyNumberFormat="1" applyFont="1" applyFill="1" applyBorder="1" applyAlignment="1" applyProtection="1">
      <alignment horizontal="right" vertical="center" indent="1"/>
      <protection hidden="1"/>
    </xf>
    <xf numFmtId="166" fontId="19" fillId="9" borderId="15" xfId="0" applyNumberFormat="1" applyFont="1" applyFill="1" applyBorder="1" applyAlignment="1" applyProtection="1">
      <alignment horizontal="right" vertical="center"/>
      <protection locked="0"/>
    </xf>
    <xf numFmtId="166" fontId="19" fillId="9" borderId="16" xfId="0" applyNumberFormat="1" applyFont="1" applyFill="1" applyBorder="1" applyAlignment="1" applyProtection="1">
      <alignment horizontal="right" vertical="center"/>
      <protection locked="0"/>
    </xf>
    <xf numFmtId="166" fontId="19" fillId="9" borderId="17" xfId="0" applyNumberFormat="1" applyFont="1" applyFill="1" applyBorder="1" applyAlignment="1" applyProtection="1">
      <alignment horizontal="right" vertical="center"/>
      <protection locked="0"/>
    </xf>
    <xf numFmtId="0" fontId="39" fillId="9" borderId="0" xfId="0" applyFont="1" applyFill="1" applyBorder="1" applyAlignment="1" applyProtection="1">
      <alignment horizontal="center" vertical="center" wrapText="1"/>
      <protection hidden="1"/>
    </xf>
    <xf numFmtId="0" fontId="21" fillId="0" borderId="0" xfId="0" applyFont="1" applyAlignment="1" applyProtection="1">
      <alignment vertical="center"/>
      <protection hidden="1"/>
    </xf>
    <xf numFmtId="164" fontId="32" fillId="0" borderId="0" xfId="0" applyNumberFormat="1" applyFont="1" applyFill="1" applyBorder="1" applyAlignment="1" applyProtection="1">
      <alignment horizontal="right" vertical="center"/>
      <protection hidden="1"/>
    </xf>
    <xf numFmtId="0" fontId="21" fillId="0" borderId="0" xfId="0" applyFont="1" applyFill="1" applyAlignment="1" applyProtection="1">
      <alignment horizontal="right" vertical="center"/>
      <protection hidden="1"/>
    </xf>
    <xf numFmtId="0" fontId="36" fillId="0" borderId="0" xfId="0" applyFont="1" applyFill="1" applyAlignment="1" applyProtection="1">
      <alignment vertical="center"/>
      <protection hidden="1"/>
    </xf>
    <xf numFmtId="0" fontId="20" fillId="15" borderId="8" xfId="0" applyFont="1" applyFill="1" applyBorder="1" applyAlignment="1" applyProtection="1">
      <alignment horizontal="left" vertical="center" wrapText="1" indent="1"/>
      <protection hidden="1"/>
    </xf>
    <xf numFmtId="0" fontId="20" fillId="15" borderId="9" xfId="0" applyFont="1" applyFill="1" applyBorder="1" applyAlignment="1" applyProtection="1">
      <alignment vertical="center"/>
      <protection hidden="1"/>
    </xf>
    <xf numFmtId="0" fontId="20" fillId="0" borderId="0" xfId="0" applyFont="1" applyAlignment="1">
      <alignment horizontal="left" vertical="center"/>
    </xf>
    <xf numFmtId="0" fontId="20" fillId="15" borderId="11" xfId="0" applyFont="1" applyFill="1" applyBorder="1" applyAlignment="1" applyProtection="1">
      <alignment horizontal="left" vertical="center" wrapText="1" indent="1"/>
      <protection hidden="1"/>
    </xf>
    <xf numFmtId="0" fontId="20" fillId="15" borderId="12" xfId="0" applyFont="1" applyFill="1" applyBorder="1" applyAlignment="1" applyProtection="1">
      <alignment vertical="center"/>
      <protection hidden="1"/>
    </xf>
    <xf numFmtId="0" fontId="8" fillId="17" borderId="6" xfId="0" applyFont="1" applyFill="1" applyBorder="1" applyAlignment="1" applyProtection="1">
      <alignment horizontal="left" vertical="center" indent="1"/>
      <protection hidden="1"/>
    </xf>
    <xf numFmtId="0" fontId="20" fillId="17" borderId="7" xfId="0" applyFont="1" applyFill="1" applyBorder="1" applyAlignment="1" applyProtection="1">
      <alignment vertical="center"/>
      <protection hidden="1"/>
    </xf>
    <xf numFmtId="4" fontId="20" fillId="0" borderId="0" xfId="0" applyNumberFormat="1" applyFont="1">
      <alignment vertical="center"/>
    </xf>
    <xf numFmtId="2" fontId="20" fillId="0" borderId="0" xfId="4" applyNumberFormat="1" applyFont="1" applyAlignment="1">
      <alignment vertical="center"/>
    </xf>
    <xf numFmtId="168" fontId="20" fillId="15" borderId="9" xfId="0" applyNumberFormat="1" applyFont="1" applyFill="1" applyBorder="1" applyAlignment="1" applyProtection="1">
      <alignment vertical="center"/>
      <protection hidden="1"/>
    </xf>
    <xf numFmtId="168" fontId="20" fillId="15" borderId="10" xfId="0" applyNumberFormat="1" applyFont="1" applyFill="1" applyBorder="1" applyAlignment="1" applyProtection="1">
      <alignment horizontal="right" vertical="center"/>
      <protection hidden="1"/>
    </xf>
    <xf numFmtId="168" fontId="20" fillId="15" borderId="10" xfId="0" applyNumberFormat="1" applyFont="1" applyFill="1" applyBorder="1" applyAlignment="1" applyProtection="1">
      <alignment vertical="center"/>
      <protection hidden="1"/>
    </xf>
    <xf numFmtId="168" fontId="20" fillId="15" borderId="12" xfId="0" applyNumberFormat="1" applyFont="1" applyFill="1" applyBorder="1" applyAlignment="1" applyProtection="1">
      <alignment vertical="center"/>
      <protection hidden="1"/>
    </xf>
    <xf numFmtId="168" fontId="20" fillId="15" borderId="13" xfId="0" applyNumberFormat="1" applyFont="1" applyFill="1" applyBorder="1" applyAlignment="1" applyProtection="1">
      <alignment horizontal="right" vertical="center"/>
      <protection hidden="1"/>
    </xf>
    <xf numFmtId="168" fontId="8" fillId="17" borderId="7" xfId="0" applyNumberFormat="1" applyFont="1" applyFill="1" applyBorder="1" applyAlignment="1" applyProtection="1">
      <alignment horizontal="left" vertical="center" indent="1"/>
      <protection hidden="1"/>
    </xf>
    <xf numFmtId="168" fontId="8" fillId="17" borderId="14" xfId="0" applyNumberFormat="1" applyFont="1" applyFill="1" applyBorder="1" applyAlignment="1" applyProtection="1">
      <alignment horizontal="right" vertical="center"/>
      <protection hidden="1"/>
    </xf>
    <xf numFmtId="166" fontId="20" fillId="15" borderId="0" xfId="0" applyNumberFormat="1" applyFont="1" applyFill="1" applyAlignment="1" applyProtection="1">
      <alignment vertical="center"/>
      <protection hidden="1"/>
    </xf>
    <xf numFmtId="168" fontId="40" fillId="15" borderId="12" xfId="0" applyNumberFormat="1" applyFont="1" applyFill="1" applyBorder="1" applyAlignment="1" applyProtection="1">
      <alignment horizontal="right" vertical="center"/>
      <protection hidden="1"/>
    </xf>
    <xf numFmtId="0" fontId="36" fillId="12" borderId="0" xfId="0" applyFont="1" applyFill="1" applyAlignment="1" applyProtection="1">
      <alignment vertical="center"/>
      <protection locked="0"/>
    </xf>
    <xf numFmtId="0" fontId="1" fillId="10" borderId="19" xfId="0" applyFont="1" applyFill="1" applyBorder="1" applyAlignment="1" applyProtection="1">
      <alignment horizontal="right" vertical="center"/>
      <protection hidden="1"/>
    </xf>
    <xf numFmtId="0" fontId="20" fillId="15" borderId="0" xfId="0" applyFont="1" applyFill="1" applyBorder="1" applyAlignment="1" applyProtection="1">
      <alignment horizontal="left" vertical="center" wrapText="1" indent="1"/>
      <protection hidden="1"/>
    </xf>
    <xf numFmtId="0" fontId="29" fillId="16" borderId="21" xfId="0" applyFont="1" applyFill="1" applyBorder="1" applyAlignment="1" applyProtection="1">
      <alignment horizontal="right" vertical="center" indent="1"/>
      <protection hidden="1"/>
    </xf>
    <xf numFmtId="0" fontId="29" fillId="16" borderId="21" xfId="0" applyFont="1" applyFill="1" applyBorder="1" applyAlignment="1" applyProtection="1">
      <alignment horizontal="right" vertical="center"/>
      <protection hidden="1"/>
    </xf>
    <xf numFmtId="166" fontId="36" fillId="13" borderId="18" xfId="0" applyNumberFormat="1" applyFont="1" applyFill="1" applyBorder="1" applyAlignment="1" applyProtection="1">
      <alignment horizontal="right" vertical="center" indent="1"/>
      <protection hidden="1"/>
    </xf>
    <xf numFmtId="0" fontId="29" fillId="16" borderId="16" xfId="0" applyFont="1" applyFill="1" applyBorder="1" applyAlignment="1" applyProtection="1">
      <alignment horizontal="right" vertical="center"/>
      <protection hidden="1"/>
    </xf>
    <xf numFmtId="1" fontId="19" fillId="9" borderId="15" xfId="0" applyNumberFormat="1" applyFont="1" applyFill="1" applyBorder="1" applyAlignment="1" applyProtection="1">
      <alignment horizontal="right" vertical="center"/>
      <protection locked="0"/>
    </xf>
    <xf numFmtId="1" fontId="19" fillId="9" borderId="16" xfId="0" applyNumberFormat="1" applyFont="1" applyFill="1" applyBorder="1" applyAlignment="1" applyProtection="1">
      <alignment horizontal="right" vertical="center"/>
      <protection locked="0"/>
    </xf>
    <xf numFmtId="1" fontId="19" fillId="9" borderId="17" xfId="0" applyNumberFormat="1" applyFont="1" applyFill="1" applyBorder="1" applyAlignment="1" applyProtection="1">
      <alignment horizontal="right" vertical="center"/>
      <protection locked="0"/>
    </xf>
    <xf numFmtId="0" fontId="20" fillId="15" borderId="0" xfId="0" applyFont="1" applyFill="1" applyBorder="1" applyAlignment="1" applyProtection="1">
      <alignment horizontal="left" vertical="center" wrapText="1" indent="1"/>
      <protection hidden="1"/>
    </xf>
    <xf numFmtId="166" fontId="20" fillId="15" borderId="18" xfId="0" applyNumberFormat="1" applyFont="1" applyFill="1" applyBorder="1" applyAlignment="1" applyProtection="1">
      <alignment horizontal="right" vertical="center" indent="1"/>
      <protection hidden="1"/>
    </xf>
    <xf numFmtId="0" fontId="39" fillId="9" borderId="0" xfId="0" applyFont="1" applyFill="1" applyAlignment="1" applyProtection="1">
      <alignment horizontal="center" vertical="center" wrapText="1"/>
      <protection hidden="1"/>
    </xf>
    <xf numFmtId="0" fontId="10" fillId="9" borderId="0" xfId="3" applyFont="1" applyFill="1" applyBorder="1" applyAlignment="1" applyProtection="1">
      <alignment horizontal="left" vertical="center" indent="1"/>
    </xf>
    <xf numFmtId="0" fontId="13" fillId="11" borderId="0" xfId="0" applyFont="1" applyFill="1" applyBorder="1" applyAlignment="1">
      <alignment horizontal="left" vertical="center" indent="1"/>
    </xf>
    <xf numFmtId="0" fontId="15" fillId="2" borderId="0" xfId="3" applyFont="1" applyFill="1" applyBorder="1" applyAlignment="1" applyProtection="1">
      <alignment horizontal="left" vertical="center" wrapText="1" indent="1"/>
    </xf>
    <xf numFmtId="0" fontId="20" fillId="15" borderId="20" xfId="0" applyFont="1" applyFill="1" applyBorder="1" applyAlignment="1" applyProtection="1">
      <alignment horizontal="left" vertical="center" wrapText="1" indent="1"/>
      <protection hidden="1"/>
    </xf>
    <xf numFmtId="0" fontId="20" fillId="15" borderId="0" xfId="0" applyFont="1" applyFill="1" applyBorder="1" applyAlignment="1" applyProtection="1">
      <alignment horizontal="left" vertical="center" wrapText="1" indent="1"/>
      <protection hidden="1"/>
    </xf>
    <xf numFmtId="0" fontId="1" fillId="10" borderId="6" xfId="0" applyFont="1" applyFill="1" applyBorder="1" applyAlignment="1" applyProtection="1">
      <alignment horizontal="center" vertical="center"/>
      <protection hidden="1"/>
    </xf>
    <xf numFmtId="0" fontId="1" fillId="10" borderId="14" xfId="0" applyFont="1" applyFill="1" applyBorder="1" applyAlignment="1" applyProtection="1">
      <alignment horizontal="center" vertical="center"/>
      <protection hidden="1"/>
    </xf>
    <xf numFmtId="0" fontId="21" fillId="0" borderId="0" xfId="3" applyFont="1" applyAlignment="1" applyProtection="1">
      <alignment vertical="center"/>
      <protection hidden="1"/>
    </xf>
  </cellXfs>
  <cellStyles count="5">
    <cellStyle name="Euro" xfId="1" xr:uid="{00000000-0005-0000-0000-000000000000}"/>
    <cellStyle name="Followed Hyperlink" xfId="2" builtinId="9"/>
    <cellStyle name="Hyperlink" xfId="3" builtinId="8"/>
    <cellStyle name="Normal" xfId="0" builtinId="0"/>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0F0F0"/>
      <rgbColor rgb="00FFFFFF"/>
      <rgbColor rgb="00B41919"/>
      <rgbColor rgb="00010000"/>
      <rgbColor rgb="009B9B95"/>
      <rgbColor rgb="0000FFFF"/>
      <rgbColor rgb="00EB0505"/>
      <rgbColor rgb="00010000"/>
      <rgbColor rgb="005F5F5A"/>
      <rgbColor rgb="00DCDCDC"/>
      <rgbColor rgb="00010000"/>
      <rgbColor rgb="0091918C"/>
      <rgbColor rgb="00010000"/>
      <rgbColor rgb="00464646"/>
      <rgbColor rgb="00C0C0C0"/>
      <rgbColor rgb="00808080"/>
      <rgbColor rgb="00010000"/>
      <rgbColor rgb="00010000"/>
      <rgbColor rgb="00010000"/>
      <rgbColor rgb="00010000"/>
      <rgbColor rgb="00010000"/>
      <rgbColor rgb="00010000"/>
      <rgbColor rgb="00010000"/>
      <rgbColor rgb="00010000"/>
      <rgbColor rgb="00010000"/>
      <rgbColor rgb="00010000"/>
      <rgbColor rgb="00010000"/>
      <rgbColor rgb="00010000"/>
      <rgbColor rgb="00010000"/>
      <rgbColor rgb="00010000"/>
      <rgbColor rgb="00010000"/>
      <rgbColor rgb="00010000"/>
      <rgbColor rgb="00010000"/>
      <rgbColor rgb="00808080"/>
      <rgbColor rgb="00C0C0C0"/>
      <rgbColor rgb="00DDDDDD"/>
      <rgbColor rgb="00777777"/>
      <rgbColor rgb="00FFFFFF"/>
      <rgbColor rgb="00EB0505"/>
      <rgbColor rgb="00EAEAEA"/>
      <rgbColor rgb="00010000"/>
      <rgbColor rgb="00010000"/>
      <rgbColor rgb="00FF6600"/>
      <rgbColor rgb="0000FF00"/>
      <rgbColor rgb="0000CCFF"/>
      <rgbColor rgb="00CDCDCD"/>
      <rgbColor rgb="00010000"/>
      <rgbColor rgb="00969696"/>
      <rgbColor rgb="00010000"/>
      <rgbColor rgb="00010000"/>
      <rgbColor rgb="00010000"/>
      <rgbColor rgb="00000000"/>
      <rgbColor rgb="00E6E6E6"/>
      <rgbColor rgb="00010000"/>
      <rgbColor rgb="00010000"/>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19</xdr:col>
      <xdr:colOff>0</xdr:colOff>
      <xdr:row>31</xdr:row>
      <xdr:rowOff>0</xdr:rowOff>
    </xdr:to>
    <xdr:sp macro="" textlink="">
      <xdr:nvSpPr>
        <xdr:cNvPr id="3394" name="Rectangle 1" descr="50%">
          <a:extLst>
            <a:ext uri="{FF2B5EF4-FFF2-40B4-BE49-F238E27FC236}">
              <a16:creationId xmlns:a16="http://schemas.microsoft.com/office/drawing/2014/main" id="{83C2C2DE-6CDE-4E34-90FE-E97724BBAA1D}"/>
            </a:ext>
          </a:extLst>
        </xdr:cNvPr>
        <xdr:cNvSpPr>
          <a:spLocks noChangeArrowheads="1"/>
        </xdr:cNvSpPr>
      </xdr:nvSpPr>
      <xdr:spPr bwMode="auto">
        <a:xfrm>
          <a:off x="431800" y="254000"/>
          <a:ext cx="7772400" cy="7366000"/>
        </a:xfrm>
        <a:prstGeom prst="rect">
          <a:avLst/>
        </a:prstGeom>
        <a:noFill/>
        <a:ln w="9525">
          <a:solidFill>
            <a:srgbClr xmlns:mc="http://schemas.openxmlformats.org/markup-compatibility/2006" xmlns:a14="http://schemas.microsoft.com/office/drawing/2010/main" val="91918C" mc:Ignorable="a14" a14:legacySpreadsheetColorIndex="19"/>
          </a:solidFill>
          <a:miter lim="800000"/>
          <a:headEnd/>
          <a:tailEnd/>
        </a:ln>
        <a:effectLst>
          <a:prstShdw prst="shdw17" dist="17961" dir="2700000">
            <a:srgbClr val="575754">
              <a:alpha val="74998"/>
            </a:srgbClr>
          </a:prstShdw>
        </a:effectLst>
        <a:extLst>
          <a:ext uri="{909E8E84-426E-40dd-AFC4-6F175D3DCCD1}"/>
        </a:extLst>
      </xdr:spPr>
      <xdr:txBody>
        <a:bodyPr rtlCol="0"/>
        <a:lstStyle/>
        <a:p>
          <a:pPr algn="ctr"/>
          <a:endParaRPr lang="nl-NL"/>
        </a:p>
      </xdr:txBody>
    </xdr:sp>
    <xdr:clientData fPrintsWithSheet="0"/>
  </xdr:twoCellAnchor>
  <xdr:twoCellAnchor>
    <xdr:from>
      <xdr:col>2</xdr:col>
      <xdr:colOff>0</xdr:colOff>
      <xdr:row>26</xdr:row>
      <xdr:rowOff>0</xdr:rowOff>
    </xdr:from>
    <xdr:to>
      <xdr:col>18</xdr:col>
      <xdr:colOff>0</xdr:colOff>
      <xdr:row>30</xdr:row>
      <xdr:rowOff>0</xdr:rowOff>
    </xdr:to>
    <xdr:grpSp>
      <xdr:nvGrpSpPr>
        <xdr:cNvPr id="1258" name="Group 2">
          <a:extLst>
            <a:ext uri="{FF2B5EF4-FFF2-40B4-BE49-F238E27FC236}">
              <a16:creationId xmlns:a16="http://schemas.microsoft.com/office/drawing/2014/main" id="{B57D4338-8B31-4425-8D9E-4905A30BB03A}"/>
            </a:ext>
          </a:extLst>
        </xdr:cNvPr>
        <xdr:cNvGrpSpPr>
          <a:grpSpLocks/>
        </xdr:cNvGrpSpPr>
      </xdr:nvGrpSpPr>
      <xdr:grpSpPr bwMode="auto">
        <a:xfrm>
          <a:off x="561975" y="7715250"/>
          <a:ext cx="6477000" cy="990600"/>
          <a:chOff x="878" y="692"/>
          <a:chExt cx="40" cy="52"/>
        </a:xfrm>
      </xdr:grpSpPr>
      <xdr:sp macro="" textlink="">
        <xdr:nvSpPr>
          <xdr:cNvPr id="1282" name="Line 3">
            <a:extLst>
              <a:ext uri="{FF2B5EF4-FFF2-40B4-BE49-F238E27FC236}">
                <a16:creationId xmlns:a16="http://schemas.microsoft.com/office/drawing/2014/main" id="{9184EB6B-68F7-4FE7-8DEC-5466C0FE5DE6}"/>
              </a:ext>
            </a:extLst>
          </xdr:cNvPr>
          <xdr:cNvSpPr>
            <a:spLocks noChangeShapeType="1"/>
          </xdr:cNvSpPr>
        </xdr:nvSpPr>
        <xdr:spPr bwMode="auto">
          <a:xfrm>
            <a:off x="878" y="692"/>
            <a:ext cx="40" cy="0"/>
          </a:xfrm>
          <a:prstGeom prst="line">
            <a:avLst/>
          </a:prstGeom>
          <a:noFill/>
          <a:ln w="9525">
            <a:solidFill>
              <a:srgbClr xmlns:mc="http://schemas.openxmlformats.org/markup-compatibility/2006" xmlns:a14="http://schemas.microsoft.com/office/drawing/2010/main" val="5F5F5A" mc:Ignorable="a14" a14:legacySpreadsheetColorIndex="16"/>
            </a:solidFill>
            <a:round/>
            <a:headEnd/>
            <a:tailEnd/>
          </a:ln>
          <a:effectLst>
            <a:prstShdw prst="shdw17" dist="17961" dir="2700000">
              <a:srgbClr val="393936">
                <a:alpha val="74997"/>
              </a:srgbClr>
            </a:prstShdw>
          </a:effectLst>
          <a:extLst>
            <a:ext uri="{909E8E84-426E-40DD-AFC4-6F175D3DCCD1}">
              <a14:hiddenFill xmlns:a14="http://schemas.microsoft.com/office/drawing/2010/main">
                <a:noFill/>
              </a14:hiddenFill>
            </a:ext>
          </a:extLst>
        </xdr:spPr>
      </xdr:sp>
      <xdr:sp macro="" textlink="">
        <xdr:nvSpPr>
          <xdr:cNvPr id="1283" name="Line 4">
            <a:extLst>
              <a:ext uri="{FF2B5EF4-FFF2-40B4-BE49-F238E27FC236}">
                <a16:creationId xmlns:a16="http://schemas.microsoft.com/office/drawing/2014/main" id="{690D76B4-530F-4A60-97A2-0F3887EAB28D}"/>
              </a:ext>
            </a:extLst>
          </xdr:cNvPr>
          <xdr:cNvSpPr>
            <a:spLocks noChangeShapeType="1"/>
          </xdr:cNvSpPr>
        </xdr:nvSpPr>
        <xdr:spPr bwMode="auto">
          <a:xfrm>
            <a:off x="878" y="692"/>
            <a:ext cx="0" cy="52"/>
          </a:xfrm>
          <a:prstGeom prst="line">
            <a:avLst/>
          </a:prstGeom>
          <a:noFill/>
          <a:ln w="9525">
            <a:solidFill>
              <a:srgbClr xmlns:mc="http://schemas.openxmlformats.org/markup-compatibility/2006" xmlns:a14="http://schemas.microsoft.com/office/drawing/2010/main" val="5F5F5A" mc:Ignorable="a14" a14:legacySpreadsheetColorIndex="16"/>
            </a:solidFill>
            <a:round/>
            <a:headEnd/>
            <a:tailEnd/>
          </a:ln>
          <a:effectLst>
            <a:prstShdw prst="shdw17" dist="17961" dir="2700000">
              <a:srgbClr val="393936">
                <a:alpha val="74997"/>
              </a:srgbClr>
            </a:prstShdw>
          </a:effectLst>
          <a:extLst>
            <a:ext uri="{909E8E84-426E-40DD-AFC4-6F175D3DCCD1}">
              <a14:hiddenFill xmlns:a14="http://schemas.microsoft.com/office/drawing/2010/main">
                <a:noFill/>
              </a14:hiddenFill>
            </a:ext>
          </a:extLst>
        </xdr:spPr>
      </xdr:sp>
      <xdr:sp macro="" textlink="">
        <xdr:nvSpPr>
          <xdr:cNvPr id="1284" name="Line 5">
            <a:extLst>
              <a:ext uri="{FF2B5EF4-FFF2-40B4-BE49-F238E27FC236}">
                <a16:creationId xmlns:a16="http://schemas.microsoft.com/office/drawing/2014/main" id="{985B7632-F886-4EEC-A22F-32B54E4FB76D}"/>
              </a:ext>
            </a:extLst>
          </xdr:cNvPr>
          <xdr:cNvSpPr>
            <a:spLocks noChangeShapeType="1"/>
          </xdr:cNvSpPr>
        </xdr:nvSpPr>
        <xdr:spPr bwMode="auto">
          <a:xfrm>
            <a:off x="878" y="744"/>
            <a:ext cx="40" cy="0"/>
          </a:xfrm>
          <a:prstGeom prst="line">
            <a:avLst/>
          </a:prstGeom>
          <a:noFill/>
          <a:ln w="9525">
            <a:solidFill>
              <a:srgbClr xmlns:mc="http://schemas.openxmlformats.org/markup-compatibility/2006" xmlns:a14="http://schemas.microsoft.com/office/drawing/2010/main" val="5F5F5A" mc:Ignorable="a14" a14:legacySpreadsheetColorIndex="16"/>
            </a:solidFill>
            <a:round/>
            <a:headEnd/>
            <a:tailEnd/>
          </a:ln>
          <a:effectLst>
            <a:prstShdw prst="shdw17" dist="17961" dir="2700000">
              <a:srgbClr val="393936">
                <a:alpha val="74997"/>
              </a:srgbClr>
            </a:prstShdw>
          </a:effectLst>
          <a:extLst>
            <a:ext uri="{909E8E84-426E-40DD-AFC4-6F175D3DCCD1}">
              <a14:hiddenFill xmlns:a14="http://schemas.microsoft.com/office/drawing/2010/main">
                <a:noFill/>
              </a14:hiddenFill>
            </a:ext>
          </a:extLst>
        </xdr:spPr>
      </xdr:sp>
      <xdr:sp macro="" textlink="">
        <xdr:nvSpPr>
          <xdr:cNvPr id="1285" name="Line 6">
            <a:extLst>
              <a:ext uri="{FF2B5EF4-FFF2-40B4-BE49-F238E27FC236}">
                <a16:creationId xmlns:a16="http://schemas.microsoft.com/office/drawing/2014/main" id="{4FEDCFDE-479A-4A0F-86E4-B1127E5C7F53}"/>
              </a:ext>
            </a:extLst>
          </xdr:cNvPr>
          <xdr:cNvSpPr>
            <a:spLocks noChangeShapeType="1"/>
          </xdr:cNvSpPr>
        </xdr:nvSpPr>
        <xdr:spPr bwMode="auto">
          <a:xfrm>
            <a:off x="918" y="692"/>
            <a:ext cx="0" cy="52"/>
          </a:xfrm>
          <a:prstGeom prst="line">
            <a:avLst/>
          </a:prstGeom>
          <a:noFill/>
          <a:ln w="9525">
            <a:solidFill>
              <a:srgbClr xmlns:mc="http://schemas.openxmlformats.org/markup-compatibility/2006" xmlns:a14="http://schemas.microsoft.com/office/drawing/2010/main" val="5F5F5A" mc:Ignorable="a14" a14:legacySpreadsheetColorIndex="16"/>
            </a:solidFill>
            <a:round/>
            <a:headEnd/>
            <a:tailEnd/>
          </a:ln>
          <a:effectLst>
            <a:prstShdw prst="shdw17" dist="17961" dir="2700000">
              <a:srgbClr val="393936">
                <a:alpha val="74997"/>
              </a:srgbClr>
            </a:prstShdw>
          </a:effectLst>
          <a:extLst>
            <a:ext uri="{909E8E84-426E-40DD-AFC4-6F175D3DCCD1}">
              <a14:hiddenFill xmlns:a14="http://schemas.microsoft.com/office/drawing/2010/main">
                <a:noFill/>
              </a14:hiddenFill>
            </a:ext>
          </a:extLst>
        </xdr:spPr>
      </xdr:sp>
    </xdr:grpSp>
    <xdr:clientData/>
  </xdr:twoCellAnchor>
  <xdr:twoCellAnchor>
    <xdr:from>
      <xdr:col>2</xdr:col>
      <xdr:colOff>0</xdr:colOff>
      <xdr:row>8</xdr:row>
      <xdr:rowOff>0</xdr:rowOff>
    </xdr:from>
    <xdr:to>
      <xdr:col>18</xdr:col>
      <xdr:colOff>28575</xdr:colOff>
      <xdr:row>12</xdr:row>
      <xdr:rowOff>190500</xdr:rowOff>
    </xdr:to>
    <xdr:sp macro="" textlink="">
      <xdr:nvSpPr>
        <xdr:cNvPr id="3080" name="Text Box 8">
          <a:extLst>
            <a:ext uri="{FF2B5EF4-FFF2-40B4-BE49-F238E27FC236}">
              <a16:creationId xmlns:a16="http://schemas.microsoft.com/office/drawing/2014/main" id="{0C67D15C-E0A5-4582-AD4E-8DA2A9B9C521}"/>
            </a:ext>
          </a:extLst>
        </xdr:cNvPr>
        <xdr:cNvSpPr txBox="1">
          <a:spLocks noChangeArrowheads="1"/>
        </xdr:cNvSpPr>
      </xdr:nvSpPr>
      <xdr:spPr bwMode="auto">
        <a:xfrm>
          <a:off x="561975" y="3257550"/>
          <a:ext cx="6505575" cy="1181100"/>
        </a:xfrm>
        <a:prstGeom prst="rect">
          <a:avLst/>
        </a:prstGeom>
        <a:noFill/>
        <a:ln>
          <a:noFill/>
        </a:ln>
        <a:effectLst>
          <a:prstShdw prst="shdw17" dist="17961" dir="2700000">
            <a:srgbClr xmlns:mc="http://schemas.openxmlformats.org/markup-compatibility/2006" xmlns:a14="http://schemas.microsoft.com/office/drawing/2010/main" val="909090" mc:Ignorable="a14" a14:legacySpreadsheetColorIndex="8">
              <a:gamma/>
              <a:shade val="60000"/>
              <a:invGamma/>
            </a:srgbClr>
          </a:prstShdw>
        </a:effectLst>
        <a:extLst>
          <a:ext uri="{909E8E84-426E-40dd-AFC4-6F175D3DCCD1}"/>
          <a:ext uri="{91240B29-F687-4f45-9708-019B960494DF}"/>
        </a:extLst>
      </xdr:spPr>
      <xdr:txBody>
        <a:bodyPr vertOverflow="clip" wrap="square" lIns="144000" tIns="118800" rIns="90000" bIns="46800" anchor="t" upright="1"/>
        <a:lstStyle/>
        <a:p>
          <a:pPr algn="l" rtl="0">
            <a:defRPr sz="1000"/>
          </a:pPr>
          <a:r>
            <a:rPr lang="nl-NL" sz="1200" b="0" i="0" u="none" strike="noStrike" baseline="0">
              <a:solidFill>
                <a:srgbClr val="000000"/>
              </a:solidFill>
              <a:latin typeface="Tahoma"/>
              <a:ea typeface="Tahoma"/>
              <a:cs typeface="Tahoma"/>
            </a:rPr>
            <a:t>Heeft u buitenvennootschappelijke investeringen gedaan en valt het bedrag van de samengetelde investeringen binnen de bandbreedte voor het vaste bedrag van de KIA? Dan heeft u mogelijk te weinig Kleinschaligheidsinvesteringsaftrek geclaimd. De door de aangifteprogramma’s en de Belastingdienst gehanteerde rekenregel vindt volgens de Hoge Raad geen steun in de wettekst.</a:t>
          </a:r>
        </a:p>
      </xdr:txBody>
    </xdr:sp>
    <xdr:clientData/>
  </xdr:twoCellAnchor>
  <xdr:twoCellAnchor>
    <xdr:from>
      <xdr:col>15</xdr:col>
      <xdr:colOff>0</xdr:colOff>
      <xdr:row>23</xdr:row>
      <xdr:rowOff>0</xdr:rowOff>
    </xdr:from>
    <xdr:to>
      <xdr:col>17</xdr:col>
      <xdr:colOff>0</xdr:colOff>
      <xdr:row>24</xdr:row>
      <xdr:rowOff>0</xdr:rowOff>
    </xdr:to>
    <xdr:grpSp>
      <xdr:nvGrpSpPr>
        <xdr:cNvPr id="1260" name="Group 9">
          <a:extLst>
            <a:ext uri="{FF2B5EF4-FFF2-40B4-BE49-F238E27FC236}">
              <a16:creationId xmlns:a16="http://schemas.microsoft.com/office/drawing/2014/main" id="{212894A1-1927-49C1-87FD-29001235DF8B}"/>
            </a:ext>
          </a:extLst>
        </xdr:cNvPr>
        <xdr:cNvGrpSpPr>
          <a:grpSpLocks/>
        </xdr:cNvGrpSpPr>
      </xdr:nvGrpSpPr>
      <xdr:grpSpPr bwMode="auto">
        <a:xfrm>
          <a:off x="5514975" y="6972300"/>
          <a:ext cx="971550" cy="247650"/>
          <a:chOff x="878" y="692"/>
          <a:chExt cx="40" cy="52"/>
        </a:xfrm>
      </xdr:grpSpPr>
      <xdr:sp macro="" textlink="">
        <xdr:nvSpPr>
          <xdr:cNvPr id="1278" name="Line 10">
            <a:extLst>
              <a:ext uri="{FF2B5EF4-FFF2-40B4-BE49-F238E27FC236}">
                <a16:creationId xmlns:a16="http://schemas.microsoft.com/office/drawing/2014/main" id="{F9199D78-E5E7-4E5B-B9AE-72ECA4F9CF9F}"/>
              </a:ext>
            </a:extLst>
          </xdr:cNvPr>
          <xdr:cNvSpPr>
            <a:spLocks noChangeShapeType="1"/>
          </xdr:cNvSpPr>
        </xdr:nvSpPr>
        <xdr:spPr bwMode="auto">
          <a:xfrm>
            <a:off x="878" y="692"/>
            <a:ext cx="40" cy="0"/>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alpha val="74997"/>
              </a:srgbClr>
            </a:prstShdw>
          </a:effectLst>
          <a:extLst>
            <a:ext uri="{909E8E84-426E-40DD-AFC4-6F175D3DCCD1}">
              <a14:hiddenFill xmlns:a14="http://schemas.microsoft.com/office/drawing/2010/main">
                <a:noFill/>
              </a14:hiddenFill>
            </a:ext>
          </a:extLst>
        </xdr:spPr>
      </xdr:sp>
      <xdr:sp macro="" textlink="">
        <xdr:nvSpPr>
          <xdr:cNvPr id="1279" name="Line 11">
            <a:extLst>
              <a:ext uri="{FF2B5EF4-FFF2-40B4-BE49-F238E27FC236}">
                <a16:creationId xmlns:a16="http://schemas.microsoft.com/office/drawing/2014/main" id="{3D03A3B5-9FBD-49CD-A5DD-A6FD4C3D7DDA}"/>
              </a:ext>
            </a:extLst>
          </xdr:cNvPr>
          <xdr:cNvSpPr>
            <a:spLocks noChangeShapeType="1"/>
          </xdr:cNvSpPr>
        </xdr:nvSpPr>
        <xdr:spPr bwMode="auto">
          <a:xfrm>
            <a:off x="878" y="692"/>
            <a:ext cx="0" cy="52"/>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alpha val="74997"/>
              </a:srgbClr>
            </a:prstShdw>
          </a:effectLst>
          <a:extLst>
            <a:ext uri="{909E8E84-426E-40DD-AFC4-6F175D3DCCD1}">
              <a14:hiddenFill xmlns:a14="http://schemas.microsoft.com/office/drawing/2010/main">
                <a:noFill/>
              </a14:hiddenFill>
            </a:ext>
          </a:extLst>
        </xdr:spPr>
      </xdr:sp>
      <xdr:sp macro="" textlink="">
        <xdr:nvSpPr>
          <xdr:cNvPr id="1280" name="Line 12">
            <a:extLst>
              <a:ext uri="{FF2B5EF4-FFF2-40B4-BE49-F238E27FC236}">
                <a16:creationId xmlns:a16="http://schemas.microsoft.com/office/drawing/2014/main" id="{C94F59CD-A4C2-43DE-8D93-C0683EE51582}"/>
              </a:ext>
            </a:extLst>
          </xdr:cNvPr>
          <xdr:cNvSpPr>
            <a:spLocks noChangeShapeType="1"/>
          </xdr:cNvSpPr>
        </xdr:nvSpPr>
        <xdr:spPr bwMode="auto">
          <a:xfrm>
            <a:off x="878" y="744"/>
            <a:ext cx="40" cy="0"/>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alpha val="74997"/>
              </a:srgbClr>
            </a:prstShdw>
          </a:effectLst>
          <a:extLst>
            <a:ext uri="{909E8E84-426E-40DD-AFC4-6F175D3DCCD1}">
              <a14:hiddenFill xmlns:a14="http://schemas.microsoft.com/office/drawing/2010/main">
                <a:noFill/>
              </a14:hiddenFill>
            </a:ext>
          </a:extLst>
        </xdr:spPr>
      </xdr:sp>
      <xdr:sp macro="" textlink="">
        <xdr:nvSpPr>
          <xdr:cNvPr id="1281" name="Line 13">
            <a:extLst>
              <a:ext uri="{FF2B5EF4-FFF2-40B4-BE49-F238E27FC236}">
                <a16:creationId xmlns:a16="http://schemas.microsoft.com/office/drawing/2014/main" id="{8D4610CF-4B2E-4DE1-AD49-60EB783AF3A4}"/>
              </a:ext>
            </a:extLst>
          </xdr:cNvPr>
          <xdr:cNvSpPr>
            <a:spLocks noChangeShapeType="1"/>
          </xdr:cNvSpPr>
        </xdr:nvSpPr>
        <xdr:spPr bwMode="auto">
          <a:xfrm>
            <a:off x="918" y="692"/>
            <a:ext cx="0" cy="52"/>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alpha val="74997"/>
              </a:srgbClr>
            </a:prstShdw>
          </a:effectLst>
          <a:extLst>
            <a:ext uri="{909E8E84-426E-40DD-AFC4-6F175D3DCCD1}">
              <a14:hiddenFill xmlns:a14="http://schemas.microsoft.com/office/drawing/2010/main">
                <a:noFill/>
              </a14:hiddenFill>
            </a:ext>
          </a:extLst>
        </xdr:spPr>
      </xdr:sp>
    </xdr:grpSp>
    <xdr:clientData/>
  </xdr:twoCellAnchor>
  <xdr:twoCellAnchor>
    <xdr:from>
      <xdr:col>15</xdr:col>
      <xdr:colOff>0</xdr:colOff>
      <xdr:row>28</xdr:row>
      <xdr:rowOff>0</xdr:rowOff>
    </xdr:from>
    <xdr:to>
      <xdr:col>17</xdr:col>
      <xdr:colOff>0</xdr:colOff>
      <xdr:row>29</xdr:row>
      <xdr:rowOff>0</xdr:rowOff>
    </xdr:to>
    <xdr:grpSp>
      <xdr:nvGrpSpPr>
        <xdr:cNvPr id="1261" name="Group 14">
          <a:extLst>
            <a:ext uri="{FF2B5EF4-FFF2-40B4-BE49-F238E27FC236}">
              <a16:creationId xmlns:a16="http://schemas.microsoft.com/office/drawing/2014/main" id="{3F8FBD39-E5AA-4CCE-9274-59ECDEED735E}"/>
            </a:ext>
          </a:extLst>
        </xdr:cNvPr>
        <xdr:cNvGrpSpPr>
          <a:grpSpLocks/>
        </xdr:cNvGrpSpPr>
      </xdr:nvGrpSpPr>
      <xdr:grpSpPr bwMode="auto">
        <a:xfrm>
          <a:off x="5514975" y="8210550"/>
          <a:ext cx="971550" cy="247650"/>
          <a:chOff x="878" y="692"/>
          <a:chExt cx="40" cy="52"/>
        </a:xfrm>
      </xdr:grpSpPr>
      <xdr:sp macro="" textlink="">
        <xdr:nvSpPr>
          <xdr:cNvPr id="1274" name="Line 15">
            <a:extLst>
              <a:ext uri="{FF2B5EF4-FFF2-40B4-BE49-F238E27FC236}">
                <a16:creationId xmlns:a16="http://schemas.microsoft.com/office/drawing/2014/main" id="{DC0CE3EC-9377-4F5C-9F13-07BAF615214C}"/>
              </a:ext>
            </a:extLst>
          </xdr:cNvPr>
          <xdr:cNvSpPr>
            <a:spLocks noChangeShapeType="1"/>
          </xdr:cNvSpPr>
        </xdr:nvSpPr>
        <xdr:spPr bwMode="auto">
          <a:xfrm>
            <a:off x="878" y="692"/>
            <a:ext cx="40" cy="0"/>
          </a:xfrm>
          <a:prstGeom prst="line">
            <a:avLst/>
          </a:prstGeom>
          <a:noFill/>
          <a:ln w="9525">
            <a:solidFill>
              <a:srgbClr xmlns:mc="http://schemas.openxmlformats.org/markup-compatibility/2006" xmlns:a14="http://schemas.microsoft.com/office/drawing/2010/main" val="464646" mc:Ignorable="a14" a14:legacySpreadsheetColorIndex="21"/>
            </a:solidFill>
            <a:round/>
            <a:headEnd/>
            <a:tailEnd/>
          </a:ln>
          <a:effectLst>
            <a:prstShdw prst="shdw17" dist="17961" dir="2700000">
              <a:srgbClr val="2A2A2A">
                <a:alpha val="74997"/>
              </a:srgbClr>
            </a:prstShdw>
          </a:effectLst>
          <a:extLst>
            <a:ext uri="{909E8E84-426E-40DD-AFC4-6F175D3DCCD1}">
              <a14:hiddenFill xmlns:a14="http://schemas.microsoft.com/office/drawing/2010/main">
                <a:noFill/>
              </a14:hiddenFill>
            </a:ext>
          </a:extLst>
        </xdr:spPr>
      </xdr:sp>
      <xdr:sp macro="" textlink="">
        <xdr:nvSpPr>
          <xdr:cNvPr id="1275" name="Line 16">
            <a:extLst>
              <a:ext uri="{FF2B5EF4-FFF2-40B4-BE49-F238E27FC236}">
                <a16:creationId xmlns:a16="http://schemas.microsoft.com/office/drawing/2014/main" id="{A41040C5-5E8C-431B-8A17-C8B3501F20D5}"/>
              </a:ext>
            </a:extLst>
          </xdr:cNvPr>
          <xdr:cNvSpPr>
            <a:spLocks noChangeShapeType="1"/>
          </xdr:cNvSpPr>
        </xdr:nvSpPr>
        <xdr:spPr bwMode="auto">
          <a:xfrm>
            <a:off x="878" y="692"/>
            <a:ext cx="0" cy="52"/>
          </a:xfrm>
          <a:prstGeom prst="line">
            <a:avLst/>
          </a:prstGeom>
          <a:noFill/>
          <a:ln w="9525">
            <a:solidFill>
              <a:srgbClr xmlns:mc="http://schemas.openxmlformats.org/markup-compatibility/2006" xmlns:a14="http://schemas.microsoft.com/office/drawing/2010/main" val="464646" mc:Ignorable="a14" a14:legacySpreadsheetColorIndex="21"/>
            </a:solidFill>
            <a:round/>
            <a:headEnd/>
            <a:tailEnd/>
          </a:ln>
          <a:effectLst>
            <a:prstShdw prst="shdw17" dist="17961" dir="2700000">
              <a:srgbClr val="2A2A2A">
                <a:alpha val="74997"/>
              </a:srgbClr>
            </a:prstShdw>
          </a:effectLst>
          <a:extLst>
            <a:ext uri="{909E8E84-426E-40DD-AFC4-6F175D3DCCD1}">
              <a14:hiddenFill xmlns:a14="http://schemas.microsoft.com/office/drawing/2010/main">
                <a:noFill/>
              </a14:hiddenFill>
            </a:ext>
          </a:extLst>
        </xdr:spPr>
      </xdr:sp>
      <xdr:sp macro="" textlink="">
        <xdr:nvSpPr>
          <xdr:cNvPr id="1276" name="Line 17">
            <a:extLst>
              <a:ext uri="{FF2B5EF4-FFF2-40B4-BE49-F238E27FC236}">
                <a16:creationId xmlns:a16="http://schemas.microsoft.com/office/drawing/2014/main" id="{7DCDFBE6-DCBC-4C8F-8102-638F45EEFC48}"/>
              </a:ext>
            </a:extLst>
          </xdr:cNvPr>
          <xdr:cNvSpPr>
            <a:spLocks noChangeShapeType="1"/>
          </xdr:cNvSpPr>
        </xdr:nvSpPr>
        <xdr:spPr bwMode="auto">
          <a:xfrm>
            <a:off x="878" y="744"/>
            <a:ext cx="40" cy="0"/>
          </a:xfrm>
          <a:prstGeom prst="line">
            <a:avLst/>
          </a:prstGeom>
          <a:noFill/>
          <a:ln w="9525">
            <a:solidFill>
              <a:srgbClr xmlns:mc="http://schemas.openxmlformats.org/markup-compatibility/2006" xmlns:a14="http://schemas.microsoft.com/office/drawing/2010/main" val="464646" mc:Ignorable="a14" a14:legacySpreadsheetColorIndex="21"/>
            </a:solidFill>
            <a:round/>
            <a:headEnd/>
            <a:tailEnd/>
          </a:ln>
          <a:effectLst>
            <a:prstShdw prst="shdw17" dist="17961" dir="2700000">
              <a:srgbClr val="2A2A2A">
                <a:alpha val="74997"/>
              </a:srgbClr>
            </a:prstShdw>
          </a:effectLst>
          <a:extLst>
            <a:ext uri="{909E8E84-426E-40DD-AFC4-6F175D3DCCD1}">
              <a14:hiddenFill xmlns:a14="http://schemas.microsoft.com/office/drawing/2010/main">
                <a:noFill/>
              </a14:hiddenFill>
            </a:ext>
          </a:extLst>
        </xdr:spPr>
      </xdr:sp>
      <xdr:sp macro="" textlink="">
        <xdr:nvSpPr>
          <xdr:cNvPr id="1277" name="Line 18">
            <a:extLst>
              <a:ext uri="{FF2B5EF4-FFF2-40B4-BE49-F238E27FC236}">
                <a16:creationId xmlns:a16="http://schemas.microsoft.com/office/drawing/2014/main" id="{4FB2E224-B3F3-4D79-B126-1256E6D448F9}"/>
              </a:ext>
            </a:extLst>
          </xdr:cNvPr>
          <xdr:cNvSpPr>
            <a:spLocks noChangeShapeType="1"/>
          </xdr:cNvSpPr>
        </xdr:nvSpPr>
        <xdr:spPr bwMode="auto">
          <a:xfrm>
            <a:off x="918" y="692"/>
            <a:ext cx="0" cy="52"/>
          </a:xfrm>
          <a:prstGeom prst="line">
            <a:avLst/>
          </a:prstGeom>
          <a:noFill/>
          <a:ln w="9525">
            <a:solidFill>
              <a:srgbClr xmlns:mc="http://schemas.openxmlformats.org/markup-compatibility/2006" xmlns:a14="http://schemas.microsoft.com/office/drawing/2010/main" val="464646" mc:Ignorable="a14" a14:legacySpreadsheetColorIndex="21"/>
            </a:solidFill>
            <a:round/>
            <a:headEnd/>
            <a:tailEnd/>
          </a:ln>
          <a:effectLst>
            <a:prstShdw prst="shdw17" dist="17961" dir="2700000">
              <a:srgbClr val="2A2A2A">
                <a:alpha val="74997"/>
              </a:srgbClr>
            </a:prstShdw>
          </a:effectLst>
          <a:extLst>
            <a:ext uri="{909E8E84-426E-40DD-AFC4-6F175D3DCCD1}">
              <a14:hiddenFill xmlns:a14="http://schemas.microsoft.com/office/drawing/2010/main">
                <a:noFill/>
              </a14:hiddenFill>
            </a:ext>
          </a:extLst>
        </xdr:spPr>
      </xdr:sp>
    </xdr:grpSp>
    <xdr:clientData/>
  </xdr:twoCellAnchor>
  <xdr:twoCellAnchor>
    <xdr:from>
      <xdr:col>15</xdr:col>
      <xdr:colOff>0</xdr:colOff>
      <xdr:row>27</xdr:row>
      <xdr:rowOff>0</xdr:rowOff>
    </xdr:from>
    <xdr:to>
      <xdr:col>17</xdr:col>
      <xdr:colOff>0</xdr:colOff>
      <xdr:row>28</xdr:row>
      <xdr:rowOff>0</xdr:rowOff>
    </xdr:to>
    <xdr:grpSp>
      <xdr:nvGrpSpPr>
        <xdr:cNvPr id="1262" name="Group 19">
          <a:extLst>
            <a:ext uri="{FF2B5EF4-FFF2-40B4-BE49-F238E27FC236}">
              <a16:creationId xmlns:a16="http://schemas.microsoft.com/office/drawing/2014/main" id="{A5101366-20E7-45A9-B3F1-C179516CE336}"/>
            </a:ext>
          </a:extLst>
        </xdr:cNvPr>
        <xdr:cNvGrpSpPr>
          <a:grpSpLocks/>
        </xdr:cNvGrpSpPr>
      </xdr:nvGrpSpPr>
      <xdr:grpSpPr bwMode="auto">
        <a:xfrm>
          <a:off x="5514975" y="7962900"/>
          <a:ext cx="971550" cy="247650"/>
          <a:chOff x="878" y="692"/>
          <a:chExt cx="40" cy="52"/>
        </a:xfrm>
      </xdr:grpSpPr>
      <xdr:sp macro="" textlink="">
        <xdr:nvSpPr>
          <xdr:cNvPr id="1270" name="Line 20">
            <a:extLst>
              <a:ext uri="{FF2B5EF4-FFF2-40B4-BE49-F238E27FC236}">
                <a16:creationId xmlns:a16="http://schemas.microsoft.com/office/drawing/2014/main" id="{7B0441E5-1102-4D7A-B3DB-8AFC45EC1385}"/>
              </a:ext>
            </a:extLst>
          </xdr:cNvPr>
          <xdr:cNvSpPr>
            <a:spLocks noChangeShapeType="1"/>
          </xdr:cNvSpPr>
        </xdr:nvSpPr>
        <xdr:spPr bwMode="auto">
          <a:xfrm>
            <a:off x="878" y="692"/>
            <a:ext cx="40" cy="0"/>
          </a:xfrm>
          <a:prstGeom prst="line">
            <a:avLst/>
          </a:prstGeom>
          <a:noFill/>
          <a:ln w="9525">
            <a:solidFill>
              <a:srgbClr xmlns:mc="http://schemas.openxmlformats.org/markup-compatibility/2006" xmlns:a14="http://schemas.microsoft.com/office/drawing/2010/main" val="464646" mc:Ignorable="a14" a14:legacySpreadsheetColorIndex="21"/>
            </a:solidFill>
            <a:round/>
            <a:headEnd/>
            <a:tailEnd/>
          </a:ln>
          <a:effectLst>
            <a:prstShdw prst="shdw17" dist="17961" dir="2700000">
              <a:srgbClr val="2A2A2A">
                <a:alpha val="74997"/>
              </a:srgbClr>
            </a:prstShdw>
          </a:effectLst>
          <a:extLst>
            <a:ext uri="{909E8E84-426E-40DD-AFC4-6F175D3DCCD1}">
              <a14:hiddenFill xmlns:a14="http://schemas.microsoft.com/office/drawing/2010/main">
                <a:noFill/>
              </a14:hiddenFill>
            </a:ext>
          </a:extLst>
        </xdr:spPr>
      </xdr:sp>
      <xdr:sp macro="" textlink="">
        <xdr:nvSpPr>
          <xdr:cNvPr id="1271" name="Line 21">
            <a:extLst>
              <a:ext uri="{FF2B5EF4-FFF2-40B4-BE49-F238E27FC236}">
                <a16:creationId xmlns:a16="http://schemas.microsoft.com/office/drawing/2014/main" id="{F48C8AAA-6FA8-4678-BB1F-7353181B2B80}"/>
              </a:ext>
            </a:extLst>
          </xdr:cNvPr>
          <xdr:cNvSpPr>
            <a:spLocks noChangeShapeType="1"/>
          </xdr:cNvSpPr>
        </xdr:nvSpPr>
        <xdr:spPr bwMode="auto">
          <a:xfrm>
            <a:off x="878" y="692"/>
            <a:ext cx="0" cy="52"/>
          </a:xfrm>
          <a:prstGeom prst="line">
            <a:avLst/>
          </a:prstGeom>
          <a:noFill/>
          <a:ln w="9525">
            <a:solidFill>
              <a:srgbClr xmlns:mc="http://schemas.openxmlformats.org/markup-compatibility/2006" xmlns:a14="http://schemas.microsoft.com/office/drawing/2010/main" val="464646" mc:Ignorable="a14" a14:legacySpreadsheetColorIndex="21"/>
            </a:solidFill>
            <a:round/>
            <a:headEnd/>
            <a:tailEnd/>
          </a:ln>
          <a:effectLst>
            <a:prstShdw prst="shdw17" dist="17961" dir="2700000">
              <a:srgbClr val="2A2A2A">
                <a:alpha val="74997"/>
              </a:srgbClr>
            </a:prstShdw>
          </a:effectLst>
          <a:extLst>
            <a:ext uri="{909E8E84-426E-40DD-AFC4-6F175D3DCCD1}">
              <a14:hiddenFill xmlns:a14="http://schemas.microsoft.com/office/drawing/2010/main">
                <a:noFill/>
              </a14:hiddenFill>
            </a:ext>
          </a:extLst>
        </xdr:spPr>
      </xdr:sp>
      <xdr:sp macro="" textlink="">
        <xdr:nvSpPr>
          <xdr:cNvPr id="1272" name="Line 22">
            <a:extLst>
              <a:ext uri="{FF2B5EF4-FFF2-40B4-BE49-F238E27FC236}">
                <a16:creationId xmlns:a16="http://schemas.microsoft.com/office/drawing/2014/main" id="{EAE09ACC-165A-4D72-BE24-735E67E80149}"/>
              </a:ext>
            </a:extLst>
          </xdr:cNvPr>
          <xdr:cNvSpPr>
            <a:spLocks noChangeShapeType="1"/>
          </xdr:cNvSpPr>
        </xdr:nvSpPr>
        <xdr:spPr bwMode="auto">
          <a:xfrm>
            <a:off x="878" y="744"/>
            <a:ext cx="40" cy="0"/>
          </a:xfrm>
          <a:prstGeom prst="line">
            <a:avLst/>
          </a:prstGeom>
          <a:noFill/>
          <a:ln w="9525">
            <a:solidFill>
              <a:srgbClr xmlns:mc="http://schemas.openxmlformats.org/markup-compatibility/2006" xmlns:a14="http://schemas.microsoft.com/office/drawing/2010/main" val="464646" mc:Ignorable="a14" a14:legacySpreadsheetColorIndex="21"/>
            </a:solidFill>
            <a:round/>
            <a:headEnd/>
            <a:tailEnd/>
          </a:ln>
          <a:effectLst>
            <a:prstShdw prst="shdw17" dist="17961" dir="2700000">
              <a:srgbClr val="2A2A2A">
                <a:alpha val="74997"/>
              </a:srgbClr>
            </a:prstShdw>
          </a:effectLst>
          <a:extLst>
            <a:ext uri="{909E8E84-426E-40DD-AFC4-6F175D3DCCD1}">
              <a14:hiddenFill xmlns:a14="http://schemas.microsoft.com/office/drawing/2010/main">
                <a:noFill/>
              </a14:hiddenFill>
            </a:ext>
          </a:extLst>
        </xdr:spPr>
      </xdr:sp>
      <xdr:sp macro="" textlink="">
        <xdr:nvSpPr>
          <xdr:cNvPr id="1273" name="Line 23">
            <a:extLst>
              <a:ext uri="{FF2B5EF4-FFF2-40B4-BE49-F238E27FC236}">
                <a16:creationId xmlns:a16="http://schemas.microsoft.com/office/drawing/2014/main" id="{CB1A3668-7F85-45B3-A0D0-EFF55E44D326}"/>
              </a:ext>
            </a:extLst>
          </xdr:cNvPr>
          <xdr:cNvSpPr>
            <a:spLocks noChangeShapeType="1"/>
          </xdr:cNvSpPr>
        </xdr:nvSpPr>
        <xdr:spPr bwMode="auto">
          <a:xfrm>
            <a:off x="918" y="692"/>
            <a:ext cx="0" cy="52"/>
          </a:xfrm>
          <a:prstGeom prst="line">
            <a:avLst/>
          </a:prstGeom>
          <a:noFill/>
          <a:ln w="9525">
            <a:solidFill>
              <a:srgbClr xmlns:mc="http://schemas.openxmlformats.org/markup-compatibility/2006" xmlns:a14="http://schemas.microsoft.com/office/drawing/2010/main" val="464646" mc:Ignorable="a14" a14:legacySpreadsheetColorIndex="21"/>
            </a:solidFill>
            <a:round/>
            <a:headEnd/>
            <a:tailEnd/>
          </a:ln>
          <a:effectLst>
            <a:prstShdw prst="shdw17" dist="17961" dir="2700000">
              <a:srgbClr val="2A2A2A">
                <a:alpha val="74997"/>
              </a:srgbClr>
            </a:prstShdw>
          </a:effectLst>
          <a:extLst>
            <a:ext uri="{909E8E84-426E-40DD-AFC4-6F175D3DCCD1}">
              <a14:hiddenFill xmlns:a14="http://schemas.microsoft.com/office/drawing/2010/main">
                <a:noFill/>
              </a14:hiddenFill>
            </a:ext>
          </a:extLst>
        </xdr:spPr>
      </xdr:sp>
    </xdr:grpSp>
    <xdr:clientData/>
  </xdr:twoCellAnchor>
  <xdr:oneCellAnchor>
    <xdr:from>
      <xdr:col>2</xdr:col>
      <xdr:colOff>46251</xdr:colOff>
      <xdr:row>13</xdr:row>
      <xdr:rowOff>0</xdr:rowOff>
    </xdr:from>
    <xdr:ext cx="155364" cy="234038"/>
    <xdr:sp macro="" textlink="">
      <xdr:nvSpPr>
        <xdr:cNvPr id="3096" name="Text Box 24">
          <a:extLst>
            <a:ext uri="{FF2B5EF4-FFF2-40B4-BE49-F238E27FC236}">
              <a16:creationId xmlns:a16="http://schemas.microsoft.com/office/drawing/2014/main" id="{E6C6DECA-0A13-4E02-B40A-A6D15678C3A2}"/>
            </a:ext>
          </a:extLst>
        </xdr:cNvPr>
        <xdr:cNvSpPr txBox="1">
          <a:spLocks noChangeArrowheads="1"/>
        </xdr:cNvSpPr>
      </xdr:nvSpPr>
      <xdr:spPr bwMode="auto">
        <a:xfrm>
          <a:off x="608226" y="4240835"/>
          <a:ext cx="155364" cy="234038"/>
        </a:xfrm>
        <a:prstGeom prst="rect">
          <a:avLst/>
        </a:prstGeom>
        <a:solidFill>
          <a:srgbClr xmlns:mc="http://schemas.openxmlformats.org/markup-compatibility/2006" xmlns:a14="http://schemas.microsoft.com/office/drawing/2010/main" val="EB0505" mc:Ignorable="a14" a14:legacySpreadsheetColorIndex="14"/>
        </a:solidFill>
        <a:ln>
          <a:noFill/>
        </a:ln>
        <a:effectLst>
          <a:prstShdw prst="shdw17" dist="17961" dir="2700000">
            <a:srgbClr xmlns:mc="http://schemas.openxmlformats.org/markup-compatibility/2006" xmlns:a14="http://schemas.microsoft.com/office/drawing/2010/main" val="8D0303" mc:Ignorable="a14" a14:legacySpreadsheetColorIndex="14">
              <a:gamma/>
              <a:shade val="60000"/>
              <a:invGamma/>
            </a:srgbClr>
          </a:prstShdw>
        </a:effectLst>
        <a:extLst>
          <a:ext uri="{91240B29-F687-4f45-9708-019B960494DF}"/>
        </a:extLst>
      </xdr:spPr>
      <xdr:txBody>
        <a:bodyPr wrap="none" lIns="36576" tIns="22860" rIns="36576" bIns="22860" anchor="ctr" upright="1">
          <a:spAutoFit/>
        </a:bodyPr>
        <a:lstStyle/>
        <a:p>
          <a:pPr algn="ctr" rtl="0">
            <a:defRPr sz="1000"/>
          </a:pPr>
          <a:r>
            <a:rPr lang="nl-NL" sz="1200" b="0" i="0" u="none" strike="noStrike" baseline="0">
              <a:solidFill>
                <a:srgbClr val="FFFFFF"/>
              </a:solidFill>
              <a:latin typeface="Wingdings 3"/>
            </a:rPr>
            <a:t>}</a:t>
          </a:r>
          <a:endParaRPr lang="nl-NL"/>
        </a:p>
      </xdr:txBody>
    </xdr:sp>
    <xdr:clientData/>
  </xdr:oneCellAnchor>
  <xdr:oneCellAnchor>
    <xdr:from>
      <xdr:col>2</xdr:col>
      <xdr:colOff>46251</xdr:colOff>
      <xdr:row>5</xdr:row>
      <xdr:rowOff>240335</xdr:rowOff>
    </xdr:from>
    <xdr:ext cx="155364" cy="234038"/>
    <xdr:sp macro="" textlink="">
      <xdr:nvSpPr>
        <xdr:cNvPr id="3097" name="Text Box 25">
          <a:extLst>
            <a:ext uri="{FF2B5EF4-FFF2-40B4-BE49-F238E27FC236}">
              <a16:creationId xmlns:a16="http://schemas.microsoft.com/office/drawing/2014/main" id="{43A7A2EB-A233-49B3-856C-CB914D4EE30E}"/>
            </a:ext>
          </a:extLst>
        </xdr:cNvPr>
        <xdr:cNvSpPr txBox="1">
          <a:spLocks noChangeArrowheads="1"/>
        </xdr:cNvSpPr>
      </xdr:nvSpPr>
      <xdr:spPr bwMode="auto">
        <a:xfrm>
          <a:off x="608226" y="2754935"/>
          <a:ext cx="155364" cy="234038"/>
        </a:xfrm>
        <a:prstGeom prst="rect">
          <a:avLst/>
        </a:prstGeom>
        <a:solidFill>
          <a:srgbClr xmlns:mc="http://schemas.openxmlformats.org/markup-compatibility/2006" xmlns:a14="http://schemas.microsoft.com/office/drawing/2010/main" val="5F5F5A" mc:Ignorable="a14" a14:legacySpreadsheetColorIndex="16"/>
        </a:solidFill>
        <a:ln>
          <a:noFill/>
        </a:ln>
        <a:effectLst>
          <a:prstShdw prst="shdw17" dist="17961" dir="2700000">
            <a:srgbClr xmlns:mc="http://schemas.openxmlformats.org/markup-compatibility/2006" xmlns:a14="http://schemas.microsoft.com/office/drawing/2010/main" val="393936" mc:Ignorable="a14" a14:legacySpreadsheetColorIndex="16">
              <a:gamma/>
              <a:shade val="60000"/>
              <a:invGamma/>
            </a:srgbClr>
          </a:prstShdw>
        </a:effectLst>
        <a:extLst>
          <a:ext uri="{91240B29-F687-4f45-9708-019B960494DF}"/>
        </a:extLst>
      </xdr:spPr>
      <xdr:txBody>
        <a:bodyPr wrap="none" lIns="36576" tIns="22860" rIns="36576" bIns="22860" anchor="ctr" upright="1">
          <a:spAutoFit/>
        </a:bodyPr>
        <a:lstStyle/>
        <a:p>
          <a:pPr algn="ctr" rtl="0">
            <a:defRPr sz="1000"/>
          </a:pPr>
          <a:r>
            <a:rPr lang="nl-NL" sz="1200" b="0" i="0" u="none" strike="noStrike" baseline="0">
              <a:solidFill>
                <a:srgbClr val="FFFFFF"/>
              </a:solidFill>
              <a:latin typeface="Wingdings 3"/>
            </a:rPr>
            <a:t>}</a:t>
          </a:r>
          <a:endParaRPr lang="nl-NL"/>
        </a:p>
      </xdr:txBody>
    </xdr:sp>
    <xdr:clientData/>
  </xdr:oneCellAnchor>
  <xdr:twoCellAnchor>
    <xdr:from>
      <xdr:col>2</xdr:col>
      <xdr:colOff>0</xdr:colOff>
      <xdr:row>13</xdr:row>
      <xdr:rowOff>247649</xdr:rowOff>
    </xdr:from>
    <xdr:to>
      <xdr:col>18</xdr:col>
      <xdr:colOff>0</xdr:colOff>
      <xdr:row>22</xdr:row>
      <xdr:rowOff>161925</xdr:rowOff>
    </xdr:to>
    <xdr:sp macro="" textlink="">
      <xdr:nvSpPr>
        <xdr:cNvPr id="3098" name="Text Box 26">
          <a:extLst>
            <a:ext uri="{FF2B5EF4-FFF2-40B4-BE49-F238E27FC236}">
              <a16:creationId xmlns:a16="http://schemas.microsoft.com/office/drawing/2014/main" id="{87081D9D-E059-4706-BDBE-7B61DAEDBFB8}"/>
            </a:ext>
          </a:extLst>
        </xdr:cNvPr>
        <xdr:cNvSpPr txBox="1">
          <a:spLocks noChangeArrowheads="1"/>
        </xdr:cNvSpPr>
      </xdr:nvSpPr>
      <xdr:spPr bwMode="auto">
        <a:xfrm>
          <a:off x="561975" y="4743449"/>
          <a:ext cx="6477000" cy="2143126"/>
        </a:xfrm>
        <a:prstGeom prst="rect">
          <a:avLst/>
        </a:prstGeom>
        <a:noFill/>
        <a:ln>
          <a:noFill/>
        </a:ln>
        <a:effectLst>
          <a:prstShdw prst="shdw17" dist="17961" dir="2700000">
            <a:srgbClr xmlns:mc="http://schemas.openxmlformats.org/markup-compatibility/2006" xmlns:a14="http://schemas.microsoft.com/office/drawing/2010/main" val="909090" mc:Ignorable="a14" a14:legacySpreadsheetColorIndex="8">
              <a:gamma/>
              <a:shade val="60000"/>
              <a:invGamma/>
            </a:srgbClr>
          </a:prstShdw>
        </a:effectLst>
        <a:extLst>
          <a:ext uri="{909E8E84-426E-40dd-AFC4-6F175D3DCCD1}"/>
          <a:ext uri="{91240B29-F687-4f45-9708-019B960494DF}"/>
        </a:extLst>
      </xdr:spPr>
      <xdr:txBody>
        <a:bodyPr vertOverflow="clip" wrap="square" lIns="144000" tIns="118800" rIns="90000" bIns="46800" anchor="t" upright="1"/>
        <a:lstStyle/>
        <a:p>
          <a:pPr algn="l" rtl="0">
            <a:defRPr sz="1000"/>
          </a:pPr>
          <a:r>
            <a:rPr lang="nl-NL" sz="1200" b="0" i="0" u="none" strike="noStrike" baseline="0">
              <a:solidFill>
                <a:srgbClr val="000000"/>
              </a:solidFill>
              <a:latin typeface="Tahoma"/>
              <a:ea typeface="Tahoma"/>
              <a:cs typeface="Tahoma"/>
            </a:rPr>
            <a:t>Deze tool berekent de te ontvangen KIA over uw investeringen zowel volgens de methode van de inspecteur als volgens de door de Hoge Raad goedgekeurde methode. </a:t>
          </a:r>
        </a:p>
        <a:p>
          <a:pPr algn="l" rtl="0">
            <a:defRPr sz="1000"/>
          </a:pPr>
          <a:endParaRPr lang="nl-NL" sz="1200" b="0" i="0" u="none" strike="noStrike" baseline="0">
            <a:solidFill>
              <a:srgbClr val="000000"/>
            </a:solidFill>
            <a:latin typeface="Tahoma"/>
            <a:ea typeface="Tahoma"/>
            <a:cs typeface="Tahoma"/>
          </a:endParaRPr>
        </a:p>
        <a:p>
          <a:pPr algn="l" rtl="0">
            <a:defRPr sz="1000"/>
          </a:pPr>
          <a:r>
            <a:rPr lang="nl-NL" sz="1200" b="0" i="0" u="none" strike="noStrike" baseline="0">
              <a:solidFill>
                <a:srgbClr val="000000"/>
              </a:solidFill>
              <a:latin typeface="Tahoma"/>
              <a:ea typeface="Tahoma"/>
              <a:cs typeface="Tahoma"/>
            </a:rPr>
            <a:t>De Hoge Raad beperkt zich in overweging 3.2.5. van zijn uitspraak tot de geschetste casus, waarin zowel het investeringsbedrag binnen de onderneming van de belastingplichtige als het bedrag van samengetelde investeringen van het samenwerkingsverband binnen de bandbreedte voor het vaste bedrag van de KIA vallen. De overweging van Gerechtshof 's-Hertogenbosch (ECLI:NL:GHSHE:2017:5282) lijkt ruimte te bieden voor een ruimere toepassing. Hierover heeft de Hoge Raad geen uitsluitsel gegeven. Voor de volledigheid staat ook de ruime berekening in deze tool.</a:t>
          </a:r>
        </a:p>
      </xdr:txBody>
    </xdr:sp>
    <xdr:clientData/>
  </xdr:twoCellAnchor>
  <xdr:twoCellAnchor editAs="oneCell">
    <xdr:from>
      <xdr:col>2</xdr:col>
      <xdr:colOff>190500</xdr:colOff>
      <xdr:row>27</xdr:row>
      <xdr:rowOff>9525</xdr:rowOff>
    </xdr:from>
    <xdr:to>
      <xdr:col>4</xdr:col>
      <xdr:colOff>333375</xdr:colOff>
      <xdr:row>27</xdr:row>
      <xdr:rowOff>238125</xdr:rowOff>
    </xdr:to>
    <xdr:pic>
      <xdr:nvPicPr>
        <xdr:cNvPr id="1266" name="Picture 27" descr="WWINDIxx_white">
          <a:extLst>
            <a:ext uri="{FF2B5EF4-FFF2-40B4-BE49-F238E27FC236}">
              <a16:creationId xmlns:a16="http://schemas.microsoft.com/office/drawing/2014/main" id="{4725F2DB-891A-434B-BFB2-4820B08370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6734175"/>
          <a:ext cx="9048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558800</xdr:colOff>
      <xdr:row>27</xdr:row>
      <xdr:rowOff>12700</xdr:rowOff>
    </xdr:from>
    <xdr:to>
      <xdr:col>16</xdr:col>
      <xdr:colOff>647700</xdr:colOff>
      <xdr:row>27</xdr:row>
      <xdr:rowOff>88900</xdr:rowOff>
    </xdr:to>
    <xdr:sp macro="" textlink="">
      <xdr:nvSpPr>
        <xdr:cNvPr id="3404" name="Rectangle 28">
          <a:extLst>
            <a:ext uri="{FF2B5EF4-FFF2-40B4-BE49-F238E27FC236}">
              <a16:creationId xmlns:a16="http://schemas.microsoft.com/office/drawing/2014/main" id="{9E177EDD-8B9C-4213-8ED7-8445A11B9BB3}"/>
            </a:ext>
          </a:extLst>
        </xdr:cNvPr>
        <xdr:cNvSpPr>
          <a:spLocks noChangeArrowheads="1"/>
        </xdr:cNvSpPr>
      </xdr:nvSpPr>
      <xdr:spPr bwMode="auto">
        <a:xfrm>
          <a:off x="7251700" y="6616700"/>
          <a:ext cx="88900" cy="76200"/>
        </a:xfrm>
        <a:prstGeom prst="rect">
          <a:avLst/>
        </a:prstGeom>
        <a:solidFill>
          <a:srgbClr xmlns:mc="http://schemas.openxmlformats.org/markup-compatibility/2006" xmlns:a14="http://schemas.microsoft.com/office/drawing/2010/main" val="464646" mc:Ignorable="a14" a14:legacySpreadsheetColorIndex="21"/>
        </a:solidFill>
        <a:ln w="9525">
          <a:solidFill>
            <a:srgbClr xmlns:mc="http://schemas.openxmlformats.org/markup-compatibility/2006" xmlns:a14="http://schemas.microsoft.com/office/drawing/2010/main" val="464646" mc:Ignorable="a14" a14:legacySpreadsheetColorIndex="21"/>
          </a:solidFill>
          <a:miter lim="800000"/>
          <a:headEnd/>
          <a:tailEnd/>
        </a:ln>
      </xdr:spPr>
      <xdr:txBody>
        <a:bodyPr rtlCol="0"/>
        <a:lstStyle/>
        <a:p>
          <a:pPr algn="ctr"/>
          <a:endParaRPr lang="nl-NL"/>
        </a:p>
      </xdr:txBody>
    </xdr:sp>
    <xdr:clientData/>
  </xdr:twoCellAnchor>
  <xdr:twoCellAnchor>
    <xdr:from>
      <xdr:col>16</xdr:col>
      <xdr:colOff>558800</xdr:colOff>
      <xdr:row>28</xdr:row>
      <xdr:rowOff>12700</xdr:rowOff>
    </xdr:from>
    <xdr:to>
      <xdr:col>16</xdr:col>
      <xdr:colOff>647700</xdr:colOff>
      <xdr:row>28</xdr:row>
      <xdr:rowOff>88900</xdr:rowOff>
    </xdr:to>
    <xdr:sp macro="" textlink="">
      <xdr:nvSpPr>
        <xdr:cNvPr id="3405" name="Rectangle 29">
          <a:extLst>
            <a:ext uri="{FF2B5EF4-FFF2-40B4-BE49-F238E27FC236}">
              <a16:creationId xmlns:a16="http://schemas.microsoft.com/office/drawing/2014/main" id="{0786A886-2107-438F-AA88-103003C1AE57}"/>
            </a:ext>
          </a:extLst>
        </xdr:cNvPr>
        <xdr:cNvSpPr>
          <a:spLocks noChangeArrowheads="1"/>
        </xdr:cNvSpPr>
      </xdr:nvSpPr>
      <xdr:spPr bwMode="auto">
        <a:xfrm>
          <a:off x="7251700" y="6870700"/>
          <a:ext cx="88900" cy="76200"/>
        </a:xfrm>
        <a:prstGeom prst="rect">
          <a:avLst/>
        </a:prstGeom>
        <a:solidFill>
          <a:srgbClr xmlns:mc="http://schemas.openxmlformats.org/markup-compatibility/2006" xmlns:a14="http://schemas.microsoft.com/office/drawing/2010/main" val="464646" mc:Ignorable="a14" a14:legacySpreadsheetColorIndex="21"/>
        </a:solidFill>
        <a:ln w="9525">
          <a:solidFill>
            <a:srgbClr xmlns:mc="http://schemas.openxmlformats.org/markup-compatibility/2006" xmlns:a14="http://schemas.microsoft.com/office/drawing/2010/main" val="464646" mc:Ignorable="a14" a14:legacySpreadsheetColorIndex="21"/>
          </a:solidFill>
          <a:miter lim="800000"/>
          <a:headEnd/>
          <a:tailEnd/>
        </a:ln>
      </xdr:spPr>
      <xdr:txBody>
        <a:bodyPr rtlCol="0"/>
        <a:lstStyle/>
        <a:p>
          <a:pPr algn="ctr"/>
          <a:endParaRPr lang="nl-NL"/>
        </a:p>
      </xdr:txBody>
    </xdr:sp>
    <xdr:clientData/>
  </xdr:twoCellAnchor>
  <xdr:twoCellAnchor>
    <xdr:from>
      <xdr:col>2</xdr:col>
      <xdr:colOff>0</xdr:colOff>
      <xdr:row>2</xdr:row>
      <xdr:rowOff>0</xdr:rowOff>
    </xdr:from>
    <xdr:to>
      <xdr:col>18</xdr:col>
      <xdr:colOff>0</xdr:colOff>
      <xdr:row>3</xdr:row>
      <xdr:rowOff>47625</xdr:rowOff>
    </xdr:to>
    <xdr:pic>
      <xdr:nvPicPr>
        <xdr:cNvPr id="1269" name="Picture 30" descr="WWINIDTL">
          <a:extLst>
            <a:ext uri="{FF2B5EF4-FFF2-40B4-BE49-F238E27FC236}">
              <a16:creationId xmlns:a16="http://schemas.microsoft.com/office/drawing/2014/main" id="{430912AD-0945-419C-BCC6-5033253A3D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495300"/>
          <a:ext cx="6477000"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2</xdr:row>
      <xdr:rowOff>15875</xdr:rowOff>
    </xdr:from>
    <xdr:to>
      <xdr:col>15</xdr:col>
      <xdr:colOff>0</xdr:colOff>
      <xdr:row>2</xdr:row>
      <xdr:rowOff>162560</xdr:rowOff>
    </xdr:to>
    <xdr:sp macro="" textlink="">
      <xdr:nvSpPr>
        <xdr:cNvPr id="2061" name="Text Box 13">
          <a:extLst>
            <a:ext uri="{FF2B5EF4-FFF2-40B4-BE49-F238E27FC236}">
              <a16:creationId xmlns:a16="http://schemas.microsoft.com/office/drawing/2014/main" id="{B60677EB-5096-4FED-A81B-D059B945EAFC}"/>
            </a:ext>
          </a:extLst>
        </xdr:cNvPr>
        <xdr:cNvSpPr txBox="1">
          <a:spLocks noChangeArrowheads="1"/>
        </xdr:cNvSpPr>
      </xdr:nvSpPr>
      <xdr:spPr bwMode="auto">
        <a:xfrm>
          <a:off x="7972425" y="609600"/>
          <a:ext cx="1524000" cy="133350"/>
        </a:xfrm>
        <a:prstGeom prst="rect">
          <a:avLst/>
        </a:prstGeom>
        <a:solidFill>
          <a:srgbClr xmlns:mc="http://schemas.openxmlformats.org/markup-compatibility/2006" xmlns:a14="http://schemas.microsoft.com/office/drawing/2010/main" val="9B9B95" mc:Ignorable="a14" a14:legacySpreadsheetColorIndex="12"/>
        </a:solidFill>
        <a:ln>
          <a:noFill/>
        </a:ln>
        <a:effectLst>
          <a:prstShdw prst="shdw17" dist="17961" dir="2700000">
            <a:srgbClr xmlns:mc="http://schemas.openxmlformats.org/markup-compatibility/2006" xmlns:a14="http://schemas.microsoft.com/office/drawing/2010/main" val="5D5D59" mc:Ignorable="a14" a14:legacySpreadsheetColorIndex="12">
              <a:gamma/>
              <a:shade val="60000"/>
              <a:invGamma/>
            </a:srgbClr>
          </a:prstShdw>
        </a:effectLst>
        <a:extLst>
          <a:ext uri="{91240B29-F687-4f45-9708-019B960494DF}"/>
        </a:extLst>
      </xdr:spPr>
      <xdr:txBody>
        <a:bodyPr vertOverflow="clip" wrap="square" lIns="27432" tIns="18288" rIns="27432" bIns="18288" anchor="ctr" upright="1"/>
        <a:lstStyle/>
        <a:p>
          <a:pPr algn="ctr" rtl="0">
            <a:defRPr sz="1000"/>
          </a:pPr>
          <a:r>
            <a:rPr lang="nl-NL" sz="700" b="0" i="0" u="none" strike="noStrike" baseline="0">
              <a:solidFill>
                <a:srgbClr val="FFFFFF"/>
              </a:solidFill>
              <a:latin typeface="Small Fonts"/>
            </a:rPr>
            <a:t>[ n a v i g a t i e k o l o m ]</a:t>
          </a:r>
          <a:endParaRPr lang="nl-NL"/>
        </a:p>
      </xdr:txBody>
    </xdr:sp>
    <xdr:clientData/>
  </xdr:twoCellAnchor>
  <xdr:oneCellAnchor>
    <xdr:from>
      <xdr:col>0</xdr:col>
      <xdr:colOff>190497</xdr:colOff>
      <xdr:row>1</xdr:row>
      <xdr:rowOff>99392</xdr:rowOff>
    </xdr:from>
    <xdr:ext cx="155364" cy="221407"/>
    <xdr:sp macro="" textlink="">
      <xdr:nvSpPr>
        <xdr:cNvPr id="4" name="Text Box 700">
          <a:extLst>
            <a:ext uri="{FF2B5EF4-FFF2-40B4-BE49-F238E27FC236}">
              <a16:creationId xmlns:a16="http://schemas.microsoft.com/office/drawing/2014/main" id="{C7F97D8E-7998-43F7-B2C9-9878FEBA9A4F}"/>
            </a:ext>
          </a:extLst>
        </xdr:cNvPr>
        <xdr:cNvSpPr txBox="1">
          <a:spLocks noChangeArrowheads="1"/>
        </xdr:cNvSpPr>
      </xdr:nvSpPr>
      <xdr:spPr bwMode="auto">
        <a:xfrm>
          <a:off x="190497" y="298175"/>
          <a:ext cx="155364" cy="221407"/>
        </a:xfrm>
        <a:prstGeom prst="rect">
          <a:avLst/>
        </a:prstGeom>
        <a:solidFill>
          <a:srgbClr val="EB0505"/>
        </a:solidFill>
        <a:ln w="9525">
          <a:noFill/>
          <a:miter lim="800000"/>
          <a:headEnd/>
          <a:tailEnd/>
        </a:ln>
        <a:effectLst>
          <a:prstShdw prst="shdw17" dist="17961" dir="2700000">
            <a:srgbClr val="EB0505">
              <a:gamma/>
              <a:shade val="60000"/>
              <a:invGamma/>
            </a:srgbClr>
          </a:prstShdw>
        </a:effectLst>
      </xdr:spPr>
      <xdr:txBody>
        <a:bodyPr wrap="none" lIns="36576" tIns="22860" rIns="36576" bIns="22860" anchor="ctr" upright="1">
          <a:spAutoFit/>
        </a:bodyPr>
        <a:lstStyle/>
        <a:p>
          <a:pPr algn="ctr" rtl="0">
            <a:defRPr sz="1000"/>
          </a:pPr>
          <a:r>
            <a:rPr lang="nl-NL" sz="1200" b="0" i="0" u="none" strike="noStrike" baseline="0">
              <a:solidFill>
                <a:srgbClr val="FFFFFF"/>
              </a:solidFill>
              <a:latin typeface="Wingdings 3"/>
            </a:rPr>
            <a:t>}</a:t>
          </a:r>
        </a:p>
      </xdr:txBody>
    </xdr:sp>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prstShdw prst="shdw17" dist="17961" dir="2700000">
            <a:srgbClr xmlns:mc="http://schemas.openxmlformats.org/markup-compatibility/2006" xmlns:a14="http://schemas.microsoft.com/office/drawing/2010/main" val="400000" mc:Ignorable="a14" a14:legacySpreadsheetColorIndex="64">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prstShdw prst="shdw17" dist="17961" dir="2700000">
            <a:srgbClr xmlns:mc="http://schemas.openxmlformats.org/markup-compatibility/2006" xmlns:a14="http://schemas.microsoft.com/office/drawing/2010/main" val="400000" mc:Ignorable="a14" a14:legacySpreadsheetColorIndex="64">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abonnementen@indicator.nl" TargetMode="External"/><Relationship Id="rId1" Type="http://schemas.openxmlformats.org/officeDocument/2006/relationships/hyperlink" Target="mailto:klantenservice@indicator.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eeplink.rechtspraak.nl/uitspraak?id=ECLI:NL:HR:2019:785" TargetMode="External"/><Relationship Id="rId7" Type="http://schemas.openxmlformats.org/officeDocument/2006/relationships/comments" Target="../comments1.xml"/><Relationship Id="rId2" Type="http://schemas.openxmlformats.org/officeDocument/2006/relationships/hyperlink" Target="http://deeplink.rechtspraak.nl/uitspraak?id=ECLI:NL:GHSHE:2017:5282" TargetMode="External"/><Relationship Id="rId1" Type="http://schemas.openxmlformats.org/officeDocument/2006/relationships/hyperlink" Target="http://deeplink.rechtspraak.nl/uitspraak?id=ECLI:NL:HR:2019:785"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autoPageBreaks="0"/>
  </sheetPr>
  <dimension ref="A1:AQ52"/>
  <sheetViews>
    <sheetView showGridLines="0" showRowColHeaders="0" tabSelected="1" workbookViewId="0"/>
  </sheetViews>
  <sheetFormatPr defaultColWidth="5.7109375" defaultRowHeight="20.100000000000001" customHeight="1"/>
  <cols>
    <col min="1" max="1" width="5.7109375" style="12" customWidth="1"/>
    <col min="2" max="2" width="2.7109375" style="12" customWidth="1"/>
    <col min="3" max="3" width="4.28515625" style="12" customWidth="1"/>
    <col min="4" max="4" width="7.140625" style="12" customWidth="1"/>
    <col min="5" max="16" width="5.7109375" style="12" customWidth="1"/>
    <col min="17" max="17" width="8.85546875" style="12" customWidth="1"/>
    <col min="18" max="18" width="8.28515625" style="12" customWidth="1"/>
    <col min="19" max="19" width="2.7109375" style="12" customWidth="1"/>
    <col min="20" max="23" width="5.7109375" style="12" customWidth="1"/>
    <col min="24" max="24" width="7.42578125" style="12" customWidth="1"/>
    <col min="25" max="27" width="5.7109375" style="12" customWidth="1"/>
    <col min="28" max="28" width="8.42578125" style="12" customWidth="1"/>
    <col min="29" max="16384" width="5.7109375" style="12"/>
  </cols>
  <sheetData>
    <row r="1" spans="1:43" ht="20.100000000000001" customHeight="1">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row>
    <row r="2" spans="1:43" ht="20.100000000000001" customHeight="1">
      <c r="A2" s="13"/>
      <c r="B2" s="11"/>
      <c r="C2" s="11"/>
      <c r="D2" s="11"/>
      <c r="E2" s="11"/>
      <c r="F2" s="11"/>
      <c r="G2" s="11"/>
      <c r="H2" s="11"/>
      <c r="I2" s="11"/>
      <c r="J2" s="11"/>
      <c r="K2" s="11"/>
      <c r="L2" s="11"/>
      <c r="M2" s="11"/>
      <c r="N2" s="11"/>
      <c r="O2" s="11"/>
      <c r="P2" s="11"/>
      <c r="Q2" s="11"/>
      <c r="R2" s="11"/>
      <c r="S2" s="11"/>
      <c r="T2" s="13"/>
      <c r="U2" s="13"/>
      <c r="V2" s="13"/>
      <c r="W2" s="13"/>
      <c r="X2" s="13"/>
      <c r="Y2" s="13"/>
      <c r="Z2" s="13"/>
      <c r="AA2" s="13"/>
      <c r="AB2" s="13"/>
      <c r="AC2" s="13"/>
      <c r="AD2" s="13"/>
      <c r="AE2" s="13"/>
      <c r="AF2" s="13"/>
      <c r="AG2" s="13"/>
      <c r="AH2" s="13"/>
      <c r="AI2" s="13"/>
      <c r="AJ2" s="13"/>
      <c r="AK2" s="13"/>
      <c r="AL2" s="13"/>
      <c r="AM2" s="13"/>
      <c r="AN2" s="13"/>
      <c r="AO2" s="13"/>
      <c r="AP2" s="13"/>
      <c r="AQ2" s="13"/>
    </row>
    <row r="3" spans="1:43" ht="120" customHeight="1">
      <c r="A3" s="13"/>
      <c r="B3" s="10"/>
      <c r="C3" s="10"/>
      <c r="D3" s="10"/>
      <c r="E3" s="10"/>
      <c r="F3" s="10"/>
      <c r="G3" s="10"/>
      <c r="H3" s="10"/>
      <c r="I3" s="10"/>
      <c r="J3" s="10"/>
      <c r="K3" s="10"/>
      <c r="L3" s="10"/>
      <c r="M3" s="10"/>
      <c r="N3" s="10"/>
      <c r="O3" s="10"/>
      <c r="P3" s="10"/>
      <c r="Q3" s="10"/>
      <c r="R3" s="10"/>
      <c r="S3" s="10"/>
      <c r="T3" s="13"/>
      <c r="U3" s="13"/>
      <c r="V3" s="13"/>
      <c r="W3" s="13"/>
      <c r="X3" s="13"/>
      <c r="Y3" s="13"/>
      <c r="Z3" s="13"/>
      <c r="AA3" s="13"/>
      <c r="AB3" s="13"/>
      <c r="AC3" s="13"/>
      <c r="AD3" s="13"/>
      <c r="AE3" s="13"/>
      <c r="AF3" s="13"/>
      <c r="AG3" s="13"/>
      <c r="AH3" s="13"/>
      <c r="AI3" s="13"/>
      <c r="AJ3" s="13"/>
      <c r="AK3" s="13"/>
      <c r="AL3" s="13"/>
      <c r="AM3" s="13"/>
      <c r="AN3" s="13"/>
      <c r="AO3" s="13"/>
      <c r="AP3" s="13"/>
      <c r="AQ3" s="13"/>
    </row>
    <row r="4" spans="1:43" ht="20.100000000000001" customHeight="1">
      <c r="A4" s="13"/>
      <c r="B4" s="10"/>
      <c r="C4" s="10"/>
      <c r="D4" s="10"/>
      <c r="E4" s="10"/>
      <c r="F4" s="10"/>
      <c r="G4" s="10"/>
      <c r="H4" s="10"/>
      <c r="I4" s="10"/>
      <c r="J4" s="10"/>
      <c r="K4" s="10"/>
      <c r="L4" s="10"/>
      <c r="M4" s="10"/>
      <c r="N4" s="10"/>
      <c r="O4" s="10"/>
      <c r="P4" s="10"/>
      <c r="Q4" s="10"/>
      <c r="R4" s="31" t="s">
        <v>47</v>
      </c>
      <c r="S4" s="10"/>
      <c r="T4" s="13"/>
      <c r="U4" s="13"/>
      <c r="V4" s="13"/>
      <c r="W4" s="13"/>
      <c r="X4" s="13"/>
      <c r="Y4" s="13"/>
      <c r="Z4" s="13"/>
      <c r="AA4" s="13"/>
      <c r="AB4" s="13"/>
      <c r="AC4" s="13"/>
      <c r="AD4" s="13"/>
      <c r="AE4" s="13"/>
      <c r="AF4" s="13"/>
      <c r="AG4" s="13"/>
      <c r="AH4" s="13"/>
      <c r="AI4" s="13"/>
      <c r="AJ4" s="13"/>
      <c r="AK4" s="13"/>
      <c r="AL4" s="13"/>
      <c r="AM4" s="13"/>
      <c r="AN4" s="13"/>
      <c r="AO4" s="13"/>
      <c r="AP4" s="13"/>
      <c r="AQ4" s="13"/>
    </row>
    <row r="5" spans="1:43" ht="20.100000000000001" customHeight="1">
      <c r="A5" s="13"/>
      <c r="B5" s="10"/>
      <c r="C5" s="10"/>
      <c r="D5" s="10"/>
      <c r="E5" s="10"/>
      <c r="F5" s="10"/>
      <c r="G5" s="10"/>
      <c r="H5" s="10"/>
      <c r="I5" s="10"/>
      <c r="J5" s="10"/>
      <c r="K5" s="10"/>
      <c r="L5" s="10"/>
      <c r="M5" s="10"/>
      <c r="N5" s="10"/>
      <c r="O5" s="10"/>
      <c r="P5" s="10"/>
      <c r="Q5" s="10"/>
      <c r="R5" s="31"/>
      <c r="S5" s="10"/>
      <c r="T5" s="13"/>
      <c r="U5" s="13"/>
      <c r="V5" s="13"/>
      <c r="W5" s="13"/>
      <c r="X5" s="13"/>
      <c r="Y5" s="13"/>
      <c r="Z5" s="13"/>
      <c r="AA5" s="13"/>
      <c r="AB5" s="13"/>
      <c r="AC5" s="13"/>
      <c r="AD5" s="13"/>
      <c r="AE5" s="13"/>
      <c r="AF5" s="13"/>
      <c r="AG5" s="13"/>
      <c r="AH5" s="13"/>
      <c r="AI5" s="13"/>
      <c r="AJ5" s="13"/>
      <c r="AK5" s="13"/>
      <c r="AL5" s="13"/>
      <c r="AM5" s="13"/>
      <c r="AN5" s="13"/>
      <c r="AO5" s="13"/>
      <c r="AP5" s="13"/>
      <c r="AQ5" s="13"/>
    </row>
    <row r="6" spans="1:43" ht="20.100000000000001" customHeight="1">
      <c r="A6" s="13"/>
      <c r="B6" s="10"/>
      <c r="C6" s="10"/>
      <c r="D6" s="10"/>
      <c r="E6" s="10"/>
      <c r="F6" s="10"/>
      <c r="G6" s="10"/>
      <c r="H6" s="10"/>
      <c r="I6" s="10"/>
      <c r="J6" s="10"/>
      <c r="K6" s="10"/>
      <c r="L6" s="10"/>
      <c r="M6" s="10"/>
      <c r="N6" s="10"/>
      <c r="O6" s="10"/>
      <c r="P6" s="10"/>
      <c r="Q6" s="10"/>
      <c r="R6" s="10"/>
      <c r="S6" s="10"/>
      <c r="T6" s="13"/>
      <c r="U6" s="13"/>
      <c r="V6" s="13"/>
      <c r="W6" s="13"/>
      <c r="X6" s="13"/>
      <c r="Y6" s="13"/>
      <c r="Z6" s="13"/>
      <c r="AA6" s="13"/>
      <c r="AB6" s="13"/>
      <c r="AC6" s="13"/>
      <c r="AD6" s="13"/>
      <c r="AE6" s="13"/>
      <c r="AF6" s="13"/>
      <c r="AG6" s="13"/>
      <c r="AH6" s="13"/>
      <c r="AI6" s="13"/>
      <c r="AJ6" s="13"/>
      <c r="AK6" s="13"/>
      <c r="AL6" s="13"/>
      <c r="AM6" s="13"/>
      <c r="AN6" s="13"/>
      <c r="AO6" s="13"/>
      <c r="AP6" s="13"/>
      <c r="AQ6" s="13"/>
    </row>
    <row r="7" spans="1:43" ht="20.100000000000001" customHeight="1">
      <c r="A7" s="13"/>
      <c r="B7" s="11"/>
      <c r="C7" s="9"/>
      <c r="D7" s="8" t="s">
        <v>38</v>
      </c>
      <c r="E7" s="10"/>
      <c r="F7" s="10"/>
      <c r="G7" s="10"/>
      <c r="H7" s="10"/>
      <c r="I7" s="10"/>
      <c r="J7" s="10"/>
      <c r="K7" s="10"/>
      <c r="L7" s="10"/>
      <c r="M7" s="10"/>
      <c r="N7" s="10"/>
      <c r="O7" s="10"/>
      <c r="P7" s="10"/>
      <c r="Q7" s="10"/>
      <c r="R7" s="10"/>
      <c r="S7" s="11"/>
      <c r="T7" s="13"/>
      <c r="U7" s="13"/>
      <c r="V7" s="13"/>
      <c r="W7" s="13"/>
      <c r="X7" s="13"/>
      <c r="Y7" s="13"/>
      <c r="Z7" s="13"/>
      <c r="AA7" s="13"/>
      <c r="AB7" s="13"/>
      <c r="AC7" s="13"/>
      <c r="AD7" s="13"/>
      <c r="AE7" s="13"/>
      <c r="AF7" s="13"/>
      <c r="AG7" s="13"/>
      <c r="AH7" s="13"/>
      <c r="AI7" s="13"/>
      <c r="AJ7" s="13"/>
      <c r="AK7" s="13"/>
      <c r="AL7" s="13"/>
      <c r="AM7" s="13"/>
      <c r="AN7" s="13"/>
      <c r="AO7" s="13"/>
      <c r="AP7" s="13"/>
      <c r="AQ7" s="13"/>
    </row>
    <row r="8" spans="1:43" ht="20.100000000000001" customHeight="1">
      <c r="A8" s="13"/>
      <c r="B8" s="11"/>
      <c r="C8" s="9"/>
      <c r="D8" s="8" t="s">
        <v>45</v>
      </c>
      <c r="E8" s="10"/>
      <c r="F8" s="10"/>
      <c r="G8" s="10"/>
      <c r="H8" s="10"/>
      <c r="I8" s="10"/>
      <c r="J8" s="10"/>
      <c r="K8" s="10"/>
      <c r="L8" s="10"/>
      <c r="M8" s="10"/>
      <c r="N8" s="10"/>
      <c r="O8" s="10"/>
      <c r="P8" s="10"/>
      <c r="Q8" s="10"/>
      <c r="R8" s="10"/>
      <c r="S8" s="11"/>
      <c r="T8" s="13"/>
      <c r="U8" s="13"/>
      <c r="V8" s="13"/>
      <c r="W8" s="13"/>
      <c r="X8" s="13"/>
      <c r="Y8" s="13"/>
      <c r="Z8" s="13"/>
      <c r="AA8" s="13"/>
      <c r="AB8" s="13"/>
      <c r="AC8" s="13"/>
      <c r="AD8" s="13"/>
      <c r="AE8" s="13"/>
      <c r="AF8" s="13"/>
      <c r="AG8" s="13"/>
      <c r="AH8" s="13"/>
      <c r="AI8" s="13"/>
      <c r="AJ8" s="13"/>
      <c r="AK8" s="13"/>
      <c r="AL8" s="13"/>
      <c r="AM8" s="13"/>
      <c r="AN8" s="13"/>
      <c r="AO8" s="13"/>
      <c r="AP8" s="13"/>
      <c r="AQ8" s="13"/>
    </row>
    <row r="9" spans="1:43" ht="20.100000000000001" customHeight="1">
      <c r="A9" s="13"/>
      <c r="B9" s="11"/>
      <c r="C9" s="10"/>
      <c r="D9" s="10"/>
      <c r="E9" s="10"/>
      <c r="F9" s="10"/>
      <c r="G9" s="10"/>
      <c r="H9" s="10"/>
      <c r="I9" s="10"/>
      <c r="J9" s="10"/>
      <c r="K9" s="10"/>
      <c r="L9" s="10"/>
      <c r="M9" s="10"/>
      <c r="N9" s="10"/>
      <c r="O9" s="10"/>
      <c r="P9" s="10"/>
      <c r="Q9" s="10"/>
      <c r="R9" s="10"/>
      <c r="S9" s="11"/>
      <c r="T9" s="13"/>
      <c r="U9" s="13"/>
      <c r="V9" s="13"/>
      <c r="W9" s="13"/>
      <c r="X9" s="13"/>
      <c r="Y9" s="13"/>
      <c r="Z9" s="13"/>
      <c r="AA9" s="13"/>
      <c r="AB9" s="13"/>
      <c r="AC9" s="13"/>
      <c r="AD9" s="13"/>
      <c r="AE9" s="13"/>
      <c r="AF9" s="13"/>
      <c r="AG9" s="13"/>
      <c r="AH9" s="13"/>
      <c r="AI9" s="13"/>
      <c r="AJ9" s="13"/>
      <c r="AK9" s="13"/>
      <c r="AL9" s="13"/>
      <c r="AM9" s="13"/>
      <c r="AN9" s="13"/>
      <c r="AO9" s="13"/>
      <c r="AP9" s="13"/>
      <c r="AQ9" s="13"/>
    </row>
    <row r="10" spans="1:43" ht="20.100000000000001" customHeight="1">
      <c r="A10" s="13"/>
      <c r="B10" s="11"/>
      <c r="C10" s="10"/>
      <c r="D10" s="10"/>
      <c r="E10" s="10"/>
      <c r="F10" s="10"/>
      <c r="G10" s="10"/>
      <c r="H10" s="10"/>
      <c r="I10" s="10"/>
      <c r="J10" s="10"/>
      <c r="K10" s="10"/>
      <c r="L10" s="10"/>
      <c r="M10" s="10"/>
      <c r="N10" s="10"/>
      <c r="O10" s="10"/>
      <c r="P10" s="10"/>
      <c r="Q10" s="10"/>
      <c r="R10" s="10"/>
      <c r="S10" s="11"/>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row>
    <row r="11" spans="1:43" ht="20.100000000000001" customHeight="1">
      <c r="A11" s="13"/>
      <c r="B11" s="11"/>
      <c r="C11" s="10"/>
      <c r="D11" s="10"/>
      <c r="E11" s="10"/>
      <c r="F11" s="10"/>
      <c r="G11" s="10"/>
      <c r="H11" s="10"/>
      <c r="I11" s="10"/>
      <c r="J11" s="10"/>
      <c r="K11" s="10"/>
      <c r="L11" s="10"/>
      <c r="M11" s="10"/>
      <c r="N11" s="10"/>
      <c r="O11" s="10"/>
      <c r="P11" s="10"/>
      <c r="Q11" s="10"/>
      <c r="R11" s="10"/>
      <c r="S11" s="11"/>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row>
    <row r="12" spans="1:43" ht="20.100000000000001" customHeight="1">
      <c r="A12" s="13"/>
      <c r="B12" s="11"/>
      <c r="C12" s="10"/>
      <c r="D12" s="10"/>
      <c r="E12" s="10"/>
      <c r="F12" s="10"/>
      <c r="G12" s="10"/>
      <c r="H12" s="10"/>
      <c r="I12" s="10"/>
      <c r="J12" s="10"/>
      <c r="K12" s="10"/>
      <c r="L12" s="10"/>
      <c r="M12" s="10"/>
      <c r="N12" s="10"/>
      <c r="O12" s="10"/>
      <c r="P12" s="10"/>
      <c r="Q12" s="10"/>
      <c r="R12" s="10"/>
      <c r="S12" s="11"/>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row>
    <row r="13" spans="1:43" ht="20.100000000000001" customHeight="1">
      <c r="A13" s="13"/>
      <c r="B13" s="11"/>
      <c r="C13" s="10"/>
      <c r="D13" s="10"/>
      <c r="E13" s="10"/>
      <c r="F13" s="10"/>
      <c r="G13" s="10"/>
      <c r="H13" s="10"/>
      <c r="I13" s="10"/>
      <c r="J13" s="10"/>
      <c r="K13" s="10"/>
      <c r="L13" s="10"/>
      <c r="M13" s="10"/>
      <c r="N13" s="10"/>
      <c r="O13" s="10"/>
      <c r="P13" s="10"/>
      <c r="Q13" s="10"/>
      <c r="R13" s="10"/>
      <c r="S13" s="11"/>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row>
    <row r="14" spans="1:43" ht="20.100000000000001" customHeight="1">
      <c r="A14" s="13"/>
      <c r="B14" s="11"/>
      <c r="C14" s="7"/>
      <c r="D14" s="6" t="s">
        <v>1</v>
      </c>
      <c r="E14" s="10"/>
      <c r="F14" s="10"/>
      <c r="G14" s="10"/>
      <c r="H14" s="10"/>
      <c r="I14" s="10"/>
      <c r="J14" s="10"/>
      <c r="K14" s="10"/>
      <c r="L14" s="10"/>
      <c r="M14" s="10"/>
      <c r="N14" s="10"/>
      <c r="O14" s="10"/>
      <c r="P14" s="10"/>
      <c r="Q14" s="10"/>
      <c r="R14" s="10"/>
      <c r="S14" s="11"/>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row>
    <row r="15" spans="1:43" ht="20.100000000000001" customHeight="1">
      <c r="A15" s="13"/>
      <c r="B15" s="11"/>
      <c r="C15" s="5"/>
      <c r="D15" s="10"/>
      <c r="E15" s="10"/>
      <c r="F15" s="10"/>
      <c r="G15" s="10"/>
      <c r="H15" s="10"/>
      <c r="I15" s="10"/>
      <c r="J15" s="10"/>
      <c r="K15" s="10"/>
      <c r="L15" s="10"/>
      <c r="M15" s="10"/>
      <c r="N15" s="10"/>
      <c r="O15" s="10"/>
      <c r="P15" s="10"/>
      <c r="Q15" s="10"/>
      <c r="R15" s="10"/>
      <c r="S15" s="11"/>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row>
    <row r="16" spans="1:43" ht="20.100000000000001" customHeight="1">
      <c r="A16" s="13"/>
      <c r="B16" s="11"/>
      <c r="C16" s="5"/>
      <c r="D16" s="10"/>
      <c r="E16" s="10"/>
      <c r="F16" s="10"/>
      <c r="G16" s="10"/>
      <c r="H16" s="10"/>
      <c r="I16" s="10"/>
      <c r="J16" s="10"/>
      <c r="K16" s="10"/>
      <c r="L16" s="10"/>
      <c r="M16" s="10"/>
      <c r="N16" s="10"/>
      <c r="O16" s="10"/>
      <c r="P16" s="10"/>
      <c r="Q16" s="10"/>
      <c r="R16" s="10"/>
      <c r="S16" s="11"/>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row>
    <row r="17" spans="1:43" ht="20.100000000000001" customHeight="1">
      <c r="A17" s="13"/>
      <c r="B17" s="11"/>
      <c r="C17" s="10"/>
      <c r="D17" s="10"/>
      <c r="E17" s="10"/>
      <c r="F17" s="10"/>
      <c r="G17" s="10"/>
      <c r="H17" s="10"/>
      <c r="I17" s="10"/>
      <c r="J17" s="10"/>
      <c r="K17" s="10"/>
      <c r="L17" s="10"/>
      <c r="M17" s="10"/>
      <c r="N17" s="10"/>
      <c r="O17" s="10"/>
      <c r="P17" s="10"/>
      <c r="Q17" s="10"/>
      <c r="R17" s="10"/>
      <c r="S17" s="11"/>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row>
    <row r="18" spans="1:43" ht="20.100000000000001" customHeight="1">
      <c r="A18" s="13"/>
      <c r="B18" s="11"/>
      <c r="C18" s="10"/>
      <c r="D18" s="10"/>
      <c r="E18" s="10"/>
      <c r="F18" s="10"/>
      <c r="G18" s="10"/>
      <c r="H18" s="10"/>
      <c r="I18" s="10"/>
      <c r="J18" s="10"/>
      <c r="K18" s="10"/>
      <c r="L18" s="10"/>
      <c r="M18" s="10"/>
      <c r="N18" s="10"/>
      <c r="O18" s="10"/>
      <c r="P18" s="10"/>
      <c r="Q18" s="10"/>
      <c r="R18" s="10"/>
      <c r="S18" s="11"/>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row>
    <row r="19" spans="1:43" ht="20.100000000000001" customHeight="1">
      <c r="A19" s="13"/>
      <c r="B19" s="11"/>
      <c r="C19" s="10"/>
      <c r="D19" s="10"/>
      <c r="E19" s="10"/>
      <c r="F19" s="10"/>
      <c r="G19" s="10"/>
      <c r="H19" s="10"/>
      <c r="I19" s="10"/>
      <c r="J19" s="10"/>
      <c r="K19" s="10"/>
      <c r="L19" s="10"/>
      <c r="M19" s="10"/>
      <c r="N19" s="10"/>
      <c r="O19" s="10"/>
      <c r="P19" s="10"/>
      <c r="Q19" s="10"/>
      <c r="R19" s="10"/>
      <c r="S19" s="11"/>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row>
    <row r="20" spans="1:43" ht="20.100000000000001" customHeight="1">
      <c r="A20" s="13"/>
      <c r="B20" s="11"/>
      <c r="C20" s="10"/>
      <c r="D20" s="10"/>
      <c r="E20" s="10"/>
      <c r="F20" s="10"/>
      <c r="G20" s="10"/>
      <c r="H20" s="10"/>
      <c r="I20" s="10"/>
      <c r="J20" s="10"/>
      <c r="K20" s="10"/>
      <c r="L20" s="10"/>
      <c r="M20" s="10"/>
      <c r="N20" s="10"/>
      <c r="O20" s="10"/>
      <c r="P20" s="10"/>
      <c r="Q20" s="10"/>
      <c r="R20" s="10"/>
      <c r="S20" s="11"/>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row>
    <row r="21" spans="1:43" ht="20.100000000000001" customHeight="1">
      <c r="A21" s="13"/>
      <c r="B21" s="11"/>
      <c r="C21" s="10"/>
      <c r="D21" s="10"/>
      <c r="E21" s="10"/>
      <c r="F21" s="10"/>
      <c r="G21" s="10"/>
      <c r="H21" s="10"/>
      <c r="I21" s="10"/>
      <c r="J21" s="10"/>
      <c r="K21" s="10"/>
      <c r="L21" s="10"/>
      <c r="M21" s="10"/>
      <c r="N21" s="10"/>
      <c r="O21" s="10"/>
      <c r="P21" s="10"/>
      <c r="Q21" s="10"/>
      <c r="R21" s="10"/>
      <c r="S21" s="11"/>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row>
    <row r="22" spans="1:43" ht="20.100000000000001" customHeight="1">
      <c r="A22" s="13"/>
      <c r="B22" s="11"/>
      <c r="C22" s="10"/>
      <c r="D22" s="10"/>
      <c r="E22" s="10"/>
      <c r="F22" s="10"/>
      <c r="G22" s="10"/>
      <c r="H22" s="10"/>
      <c r="I22" s="10"/>
      <c r="J22" s="10"/>
      <c r="K22" s="10"/>
      <c r="L22" s="10"/>
      <c r="M22" s="10"/>
      <c r="N22" s="10"/>
      <c r="O22" s="10"/>
      <c r="P22" s="10"/>
      <c r="Q22" s="10"/>
      <c r="R22" s="10"/>
      <c r="S22" s="11"/>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row>
    <row r="23" spans="1:43" ht="20.100000000000001" customHeight="1">
      <c r="A23" s="13"/>
      <c r="B23" s="11"/>
      <c r="C23" s="10"/>
      <c r="D23" s="10"/>
      <c r="E23" s="10"/>
      <c r="F23" s="10"/>
      <c r="G23" s="10"/>
      <c r="H23" s="10"/>
      <c r="I23" s="10"/>
      <c r="J23" s="10"/>
      <c r="K23" s="10"/>
      <c r="L23" s="10"/>
      <c r="M23" s="10"/>
      <c r="N23" s="10"/>
      <c r="O23" s="10"/>
      <c r="P23" s="10"/>
      <c r="Q23" s="10"/>
      <c r="R23" s="10"/>
      <c r="S23" s="11"/>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row>
    <row r="24" spans="1:43" ht="20.100000000000001" customHeight="1">
      <c r="A24" s="13"/>
      <c r="B24" s="11"/>
      <c r="C24" s="10"/>
      <c r="D24" s="10"/>
      <c r="E24" s="10"/>
      <c r="F24" s="10"/>
      <c r="G24" s="10"/>
      <c r="H24" s="10"/>
      <c r="I24" s="10"/>
      <c r="J24" s="10"/>
      <c r="K24" s="10"/>
      <c r="L24" s="10"/>
      <c r="M24" s="10"/>
      <c r="N24" s="10"/>
      <c r="O24" s="10"/>
      <c r="P24" s="124" t="s">
        <v>2</v>
      </c>
      <c r="Q24" s="124"/>
      <c r="R24" s="10"/>
      <c r="S24" s="11"/>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row>
    <row r="25" spans="1:43" ht="20.100000000000001" customHeight="1">
      <c r="A25" s="13"/>
      <c r="B25" s="11"/>
      <c r="C25" s="10"/>
      <c r="D25" s="10"/>
      <c r="E25" s="10"/>
      <c r="F25" s="10"/>
      <c r="G25" s="10"/>
      <c r="H25" s="10"/>
      <c r="I25" s="10"/>
      <c r="J25" s="10"/>
      <c r="K25" s="10"/>
      <c r="L25" s="10"/>
      <c r="M25" s="10"/>
      <c r="N25" s="10"/>
      <c r="O25" s="10"/>
      <c r="P25" s="10"/>
      <c r="Q25" s="10"/>
      <c r="R25" s="10"/>
      <c r="S25" s="11"/>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row>
    <row r="26" spans="1:43" ht="20.100000000000001" customHeight="1">
      <c r="A26" s="13"/>
      <c r="B26" s="11"/>
      <c r="C26" s="10"/>
      <c r="D26" s="10"/>
      <c r="E26" s="10"/>
      <c r="F26" s="10"/>
      <c r="G26" s="10"/>
      <c r="H26" s="10"/>
      <c r="I26" s="10"/>
      <c r="J26" s="10"/>
      <c r="K26" s="10"/>
      <c r="L26" s="10"/>
      <c r="M26" s="10"/>
      <c r="N26" s="10"/>
      <c r="O26" s="10"/>
      <c r="P26" s="10"/>
      <c r="Q26" s="10"/>
      <c r="R26" s="10"/>
      <c r="S26" s="11"/>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row>
    <row r="27" spans="1:43" ht="20.100000000000001" customHeight="1">
      <c r="A27" s="13"/>
      <c r="B27" s="11"/>
      <c r="C27" s="4"/>
      <c r="D27" s="4"/>
      <c r="E27" s="4"/>
      <c r="F27" s="4"/>
      <c r="G27" s="4"/>
      <c r="H27" s="4"/>
      <c r="I27" s="4"/>
      <c r="J27" s="4"/>
      <c r="K27" s="4"/>
      <c r="L27" s="4"/>
      <c r="M27" s="4"/>
      <c r="N27" s="4"/>
      <c r="O27" s="4"/>
      <c r="P27" s="3"/>
      <c r="Q27" s="3"/>
      <c r="R27" s="3"/>
      <c r="S27" s="11"/>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row>
    <row r="28" spans="1:43" ht="20.100000000000001" customHeight="1">
      <c r="A28" s="13"/>
      <c r="B28" s="11"/>
      <c r="C28" s="4"/>
      <c r="D28" s="4"/>
      <c r="E28" s="4"/>
      <c r="F28" s="4"/>
      <c r="G28" s="4"/>
      <c r="H28" s="4"/>
      <c r="I28" s="4"/>
      <c r="J28" s="4"/>
      <c r="K28" s="4"/>
      <c r="L28" s="4"/>
      <c r="M28" s="4"/>
      <c r="N28" s="4"/>
      <c r="O28" s="4"/>
      <c r="P28" s="125" t="s">
        <v>3</v>
      </c>
      <c r="Q28" s="125"/>
      <c r="R28" s="3"/>
      <c r="S28" s="11"/>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row>
    <row r="29" spans="1:43" ht="20.100000000000001" customHeight="1">
      <c r="A29" s="13"/>
      <c r="B29" s="11"/>
      <c r="C29" s="126" t="s">
        <v>10</v>
      </c>
      <c r="D29" s="126"/>
      <c r="E29" s="126"/>
      <c r="F29" s="126"/>
      <c r="G29" s="126"/>
      <c r="H29" s="126"/>
      <c r="I29" s="126"/>
      <c r="J29" s="126"/>
      <c r="K29" s="126"/>
      <c r="L29" s="126"/>
      <c r="M29" s="126"/>
      <c r="N29" s="4"/>
      <c r="O29" s="4"/>
      <c r="P29" s="125" t="s">
        <v>4</v>
      </c>
      <c r="Q29" s="125"/>
      <c r="R29" s="3"/>
      <c r="S29" s="11"/>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row>
    <row r="30" spans="1:43" ht="20.100000000000001" customHeight="1">
      <c r="A30" s="13"/>
      <c r="B30" s="11"/>
      <c r="C30" s="3"/>
      <c r="D30" s="4"/>
      <c r="E30" s="4"/>
      <c r="F30" s="4"/>
      <c r="G30" s="4"/>
      <c r="H30" s="4"/>
      <c r="I30" s="4"/>
      <c r="J30" s="4"/>
      <c r="K30" s="4"/>
      <c r="L30" s="4"/>
      <c r="M30" s="4"/>
      <c r="N30" s="4"/>
      <c r="O30" s="2"/>
      <c r="P30" s="2"/>
      <c r="Q30" s="2"/>
      <c r="R30" s="3"/>
      <c r="S30" s="11"/>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row>
    <row r="31" spans="1:43" ht="20.100000000000001" customHeight="1">
      <c r="A31" s="13"/>
      <c r="B31" s="11"/>
      <c r="C31" s="10"/>
      <c r="D31" s="11"/>
      <c r="E31" s="11"/>
      <c r="F31" s="11"/>
      <c r="G31" s="11"/>
      <c r="H31" s="11"/>
      <c r="I31" s="11"/>
      <c r="J31" s="11"/>
      <c r="K31" s="11"/>
      <c r="L31" s="11"/>
      <c r="M31" s="11"/>
      <c r="N31" s="11"/>
      <c r="O31" s="11"/>
      <c r="P31" s="11"/>
      <c r="Q31" s="1"/>
      <c r="R31" s="1"/>
      <c r="S31" s="11"/>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row>
    <row r="32" spans="1:43" ht="20.100000000000001"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row>
    <row r="33" spans="1:43" ht="20.100000000000001"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row>
    <row r="34" spans="1:43" ht="20.100000000000001"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row>
    <row r="35" spans="1:43" ht="20.100000000000001" customHeight="1">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row>
    <row r="36" spans="1:43" ht="20.100000000000001" customHeight="1">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row>
    <row r="37" spans="1:43" ht="20.100000000000001"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row>
    <row r="38" spans="1:43" ht="20.100000000000001"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row>
    <row r="39" spans="1:43" ht="20.100000000000001"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row>
    <row r="40" spans="1:43" ht="20.100000000000001" customHeight="1">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row>
    <row r="41" spans="1:43" ht="20.100000000000001"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row>
    <row r="42" spans="1:43" ht="20.100000000000001"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row>
    <row r="43" spans="1:43" ht="20.100000000000001"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row>
    <row r="44" spans="1:43" ht="20.100000000000001"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row>
    <row r="45" spans="1:43" ht="20.100000000000001"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row>
    <row r="46" spans="1:43" ht="20.100000000000001"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row>
    <row r="47" spans="1:43" ht="20.100000000000001"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row>
    <row r="48" spans="1:43" ht="20.100000000000001"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row>
    <row r="49" spans="1:43" ht="20.100000000000001"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row>
    <row r="50" spans="1:43" ht="20.100000000000001"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row>
    <row r="51" spans="1:43" ht="20.100000000000001"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row>
    <row r="52" spans="1:43" ht="20.100000000000001"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row>
  </sheetData>
  <sheetProtection algorithmName="SHA-512" hashValue="gJKuzHQTgIgLzZ4Fj1gxuIKiIiJ4qF7WjWlC1Js2ND2gpgSAk5E8DTMp3MZzPQfR+JtgvL78M1GvlEdEOAcj8w==" saltValue="mXlCS/GunXFFt+mA6jrrtQ==" spinCount="100000" sheet="1" objects="1" scenarios="1"/>
  <mergeCells count="4">
    <mergeCell ref="P24:Q24"/>
    <mergeCell ref="P29:Q29"/>
    <mergeCell ref="P28:Q28"/>
    <mergeCell ref="C29:M29"/>
  </mergeCells>
  <phoneticPr fontId="0" type="noConversion"/>
  <hyperlinks>
    <hyperlink ref="P24:Q24" location="'1'!A1" tooltip="Reken zelf!" display="} klik hier" xr:uid="{00000000-0004-0000-0000-000000000000}"/>
    <hyperlink ref="C29:L29" r:id="rId1" display="Tiensesteenweg 306 - 3000 Leuven - klantenservice@indicator.be" xr:uid="{00000000-0004-0000-0000-000001000000}"/>
    <hyperlink ref="C29:M29" r:id="rId2" display="Schootense Dreef 31 § 5708 HZ Helmond § klantenservice@indicator.nl" xr:uid="{00000000-0004-0000-0000-000002000000}"/>
  </hyperlinks>
  <pageMargins left="0.75" right="0.75" top="1" bottom="1" header="0.5" footer="0.5"/>
  <pageSetup paperSize="9" orientation="portrait"/>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O38"/>
  <sheetViews>
    <sheetView showGridLines="0" showRowColHeaders="0" zoomScaleNormal="100" zoomScalePageLayoutView="110" workbookViewId="0">
      <selection activeCell="L2" sqref="L2"/>
    </sheetView>
  </sheetViews>
  <sheetFormatPr defaultColWidth="9.140625" defaultRowHeight="15.75" customHeight="1"/>
  <cols>
    <col min="1" max="1" width="5.7109375" style="24" customWidth="1"/>
    <col min="2" max="2" width="57.140625" style="24" customWidth="1"/>
    <col min="3" max="10" width="21.42578125" style="24" customWidth="1"/>
    <col min="11" max="26" width="5.7109375" style="24" customWidth="1"/>
    <col min="27" max="16384" width="9.140625" style="24"/>
  </cols>
  <sheetData>
    <row r="1" spans="1:15" ht="15.75" customHeight="1" thickBot="1">
      <c r="L1" s="14"/>
      <c r="M1" s="14"/>
      <c r="N1" s="15"/>
      <c r="O1" s="15"/>
    </row>
    <row r="2" spans="1:15" ht="30" customHeight="1">
      <c r="B2" s="79" t="s">
        <v>43</v>
      </c>
      <c r="H2" s="28"/>
      <c r="I2" s="80"/>
      <c r="J2" s="80"/>
      <c r="L2" s="16" t="s">
        <v>5</v>
      </c>
      <c r="M2" s="17" t="s">
        <v>0</v>
      </c>
      <c r="N2" s="18" t="s">
        <v>6</v>
      </c>
      <c r="O2" s="18" t="s">
        <v>7</v>
      </c>
    </row>
    <row r="3" spans="1:15" ht="15.75" customHeight="1">
      <c r="B3" s="81" t="s">
        <v>44</v>
      </c>
      <c r="L3" s="19"/>
      <c r="M3" s="20"/>
      <c r="N3" s="20"/>
      <c r="O3" s="21"/>
    </row>
    <row r="4" spans="1:15" ht="15.75" customHeight="1">
      <c r="L4" s="20"/>
      <c r="M4" s="20"/>
      <c r="N4" s="20"/>
      <c r="O4" s="20"/>
    </row>
    <row r="5" spans="1:15" ht="15.75" customHeight="1">
      <c r="A5" s="30" t="s">
        <v>12</v>
      </c>
      <c r="B5" s="29" t="s">
        <v>11</v>
      </c>
      <c r="C5" s="43">
        <v>2012</v>
      </c>
      <c r="D5" s="41">
        <v>2013</v>
      </c>
      <c r="E5" s="41">
        <v>2014</v>
      </c>
      <c r="F5" s="41">
        <v>2015</v>
      </c>
      <c r="G5" s="41">
        <v>2016</v>
      </c>
      <c r="H5" s="41">
        <v>2017</v>
      </c>
      <c r="I5" s="117">
        <v>2018</v>
      </c>
      <c r="J5" s="42">
        <v>2019</v>
      </c>
      <c r="L5" s="22"/>
      <c r="M5" s="22"/>
      <c r="N5" s="23"/>
      <c r="O5" s="23"/>
    </row>
    <row r="6" spans="1:15" ht="15.75" customHeight="1">
      <c r="B6" s="82" t="s">
        <v>24</v>
      </c>
      <c r="C6" s="85"/>
      <c r="D6" s="86"/>
      <c r="E6" s="86"/>
      <c r="F6" s="86"/>
      <c r="G6" s="86"/>
      <c r="H6" s="86"/>
      <c r="I6" s="86"/>
      <c r="J6" s="87"/>
      <c r="L6" s="22"/>
      <c r="M6" s="22"/>
      <c r="N6" s="23"/>
      <c r="O6" s="23"/>
    </row>
    <row r="7" spans="1:15" ht="15.75" customHeight="1">
      <c r="B7" s="82" t="s">
        <v>25</v>
      </c>
      <c r="C7" s="85"/>
      <c r="D7" s="86"/>
      <c r="E7" s="86"/>
      <c r="F7" s="86"/>
      <c r="G7" s="86"/>
      <c r="H7" s="86"/>
      <c r="I7" s="86"/>
      <c r="J7" s="87"/>
      <c r="L7" s="22"/>
      <c r="M7" s="22"/>
      <c r="N7" s="23"/>
      <c r="O7" s="23"/>
    </row>
    <row r="8" spans="1:15" ht="15.75" customHeight="1">
      <c r="B8" s="82" t="s">
        <v>26</v>
      </c>
      <c r="C8" s="118">
        <v>1</v>
      </c>
      <c r="D8" s="119">
        <v>1</v>
      </c>
      <c r="E8" s="119">
        <v>1</v>
      </c>
      <c r="F8" s="119">
        <v>1</v>
      </c>
      <c r="G8" s="119">
        <v>1</v>
      </c>
      <c r="H8" s="119">
        <v>1</v>
      </c>
      <c r="I8" s="119">
        <v>1</v>
      </c>
      <c r="J8" s="120">
        <v>1</v>
      </c>
      <c r="L8" s="25"/>
      <c r="M8" s="25"/>
      <c r="N8" s="25"/>
      <c r="O8" s="25"/>
    </row>
    <row r="9" spans="1:15" ht="15.75" customHeight="1">
      <c r="L9" s="20"/>
      <c r="M9" s="20"/>
      <c r="N9" s="20"/>
      <c r="O9" s="20"/>
    </row>
    <row r="10" spans="1:15" ht="15.75" customHeight="1">
      <c r="A10" s="30" t="s">
        <v>12</v>
      </c>
      <c r="B10" s="29" t="s">
        <v>33</v>
      </c>
      <c r="C10" s="114">
        <v>2012</v>
      </c>
      <c r="D10" s="114">
        <v>2013</v>
      </c>
      <c r="E10" s="114">
        <v>2014</v>
      </c>
      <c r="F10" s="114">
        <v>2015</v>
      </c>
      <c r="G10" s="114">
        <v>2016</v>
      </c>
      <c r="H10" s="114">
        <v>2017</v>
      </c>
      <c r="I10" s="115">
        <v>2018</v>
      </c>
      <c r="J10" s="115">
        <v>2019</v>
      </c>
      <c r="L10" s="20"/>
      <c r="M10" s="20"/>
      <c r="N10" s="20"/>
      <c r="O10" s="20"/>
    </row>
    <row r="11" spans="1:15" ht="15.75" customHeight="1">
      <c r="B11" s="83" t="s">
        <v>39</v>
      </c>
      <c r="C11" s="78">
        <f>calc!C12</f>
        <v>0</v>
      </c>
      <c r="D11" s="78">
        <f>calc!D12</f>
        <v>0</v>
      </c>
      <c r="E11" s="78">
        <f>calc!E12</f>
        <v>0</v>
      </c>
      <c r="F11" s="78">
        <f>calc!F12</f>
        <v>0</v>
      </c>
      <c r="G11" s="78">
        <f>calc!G12</f>
        <v>0</v>
      </c>
      <c r="H11" s="78">
        <f>calc!H12</f>
        <v>0</v>
      </c>
      <c r="I11" s="78">
        <f>calc!I12</f>
        <v>0</v>
      </c>
      <c r="J11" s="78">
        <f>calc!J12</f>
        <v>0</v>
      </c>
      <c r="L11" s="123" t="s">
        <v>0</v>
      </c>
      <c r="M11" s="25"/>
      <c r="N11" s="25"/>
      <c r="O11" s="25"/>
    </row>
    <row r="12" spans="1:15" ht="15.75" customHeight="1">
      <c r="B12" s="83" t="s">
        <v>48</v>
      </c>
      <c r="C12" s="84">
        <f>calc!C25</f>
        <v>0</v>
      </c>
      <c r="D12" s="84">
        <f>calc!D25</f>
        <v>0</v>
      </c>
      <c r="E12" s="84">
        <f>calc!E25</f>
        <v>0</v>
      </c>
      <c r="F12" s="84">
        <f>calc!F25</f>
        <v>0</v>
      </c>
      <c r="G12" s="84">
        <f>calc!G25</f>
        <v>0</v>
      </c>
      <c r="H12" s="84">
        <f>calc!H25</f>
        <v>0</v>
      </c>
      <c r="I12" s="84">
        <f>calc!I25</f>
        <v>0</v>
      </c>
      <c r="J12" s="84">
        <f>calc!J25</f>
        <v>0</v>
      </c>
      <c r="L12" s="25"/>
      <c r="M12" s="25"/>
      <c r="N12" s="25"/>
      <c r="O12" s="25"/>
    </row>
    <row r="13" spans="1:15" ht="15.75" customHeight="1">
      <c r="B13" s="83" t="s">
        <v>46</v>
      </c>
      <c r="C13" s="122">
        <f ca="1">IF(AND(calc!$C$36&gt;0,calc!$C$37&gt;calc!$C$30,calc!$C$37&lt;calc!$C$31,calc!$C$38&gt;calc!$C$30,calc!$C$38&lt;calc!$C$31),C12,C11)</f>
        <v>0</v>
      </c>
      <c r="D13" s="122">
        <f ca="1">IF(AND(calc!$C$36&gt;0,calc!$C$37&gt;calc!$C$30,calc!$C$37&lt;calc!$C$31,calc!$C$38&gt;calc!$C$30,calc!$C$38&lt;calc!$C$31),D12,D11)</f>
        <v>0</v>
      </c>
      <c r="E13" s="122">
        <f ca="1">IF(AND(calc!$C$36&gt;0,calc!$C$37&gt;calc!$C$30,calc!$C$37&lt;calc!$C$31,calc!$C$38&gt;calc!$C$30,calc!$C$38&lt;calc!$C$31),E12,E11)</f>
        <v>0</v>
      </c>
      <c r="F13" s="122">
        <f ca="1">IF(AND(calc!$C$36&gt;0,calc!$C$37&gt;calc!$C$30,calc!$C$37&lt;calc!$C$31,calc!$C$38&gt;calc!$C$30,calc!$C$38&lt;calc!$C$31),F12,F11)</f>
        <v>0</v>
      </c>
      <c r="G13" s="122">
        <f ca="1">IF(AND(calc!$C$36&gt;0,calc!$C$37&gt;calc!$C$30,calc!$C$37&lt;calc!$C$31,calc!$C$38&gt;calc!$C$30,calc!$C$38&lt;calc!$C$31),G12,G11)</f>
        <v>0</v>
      </c>
      <c r="H13" s="122">
        <f ca="1">IF(AND(calc!$C$36&gt;0,calc!$C$37&gt;calc!$C$30,calc!$C$37&lt;calc!$C$31,calc!$C$38&gt;calc!$C$30,calc!$C$38&lt;calc!$C$31),H12,H11)</f>
        <v>0</v>
      </c>
      <c r="I13" s="122">
        <f ca="1">IF(AND(calc!$C$36&gt;0,calc!$C$37&gt;calc!$C$30,calc!$C$37&lt;calc!$C$31,calc!$C$38&gt;calc!$C$30,calc!$C$38&lt;calc!$C$31),I12,I11)</f>
        <v>0</v>
      </c>
      <c r="J13" s="122">
        <f ca="1">IF(AND(calc!$C$36&gt;0,calc!$C$37&gt;calc!$C$30,calc!$C$37&lt;calc!$C$31,calc!$C$38&gt;calc!$C$30,calc!$C$38&lt;calc!$C$31),J12,J11)</f>
        <v>0</v>
      </c>
      <c r="L13" s="88" t="s">
        <v>0</v>
      </c>
      <c r="M13" s="25"/>
      <c r="N13" s="25"/>
      <c r="O13" s="25"/>
    </row>
    <row r="14" spans="1:15" ht="15.75" hidden="1" customHeight="1">
      <c r="B14" s="40" t="s">
        <v>34</v>
      </c>
      <c r="C14" s="116">
        <f ca="1">C13-C11</f>
        <v>0</v>
      </c>
      <c r="D14" s="116">
        <f t="shared" ref="D14:J14" ca="1" si="0">D13-D11</f>
        <v>0</v>
      </c>
      <c r="E14" s="116">
        <f t="shared" ca="1" si="0"/>
        <v>0</v>
      </c>
      <c r="F14" s="116">
        <f t="shared" ca="1" si="0"/>
        <v>0</v>
      </c>
      <c r="G14" s="116">
        <f t="shared" ca="1" si="0"/>
        <v>0</v>
      </c>
      <c r="H14" s="116">
        <f t="shared" ca="1" si="0"/>
        <v>0</v>
      </c>
      <c r="I14" s="116">
        <f t="shared" ca="1" si="0"/>
        <v>0</v>
      </c>
      <c r="J14" s="116">
        <f t="shared" ca="1" si="0"/>
        <v>0</v>
      </c>
      <c r="K14" s="26"/>
      <c r="L14" s="27"/>
      <c r="M14" s="25"/>
      <c r="N14" s="25"/>
      <c r="O14" s="25"/>
    </row>
    <row r="15" spans="1:15" ht="15.75" customHeight="1">
      <c r="L15" s="25"/>
      <c r="M15" s="25"/>
      <c r="N15" s="25"/>
      <c r="O15" s="25"/>
    </row>
    <row r="16" spans="1:15" ht="15.75" customHeight="1">
      <c r="A16" s="30" t="s">
        <v>12</v>
      </c>
      <c r="B16" s="29" t="s">
        <v>37</v>
      </c>
      <c r="H16" s="91"/>
      <c r="I16" s="92"/>
      <c r="J16" s="92"/>
      <c r="L16" s="25"/>
      <c r="M16" s="25"/>
      <c r="N16" s="25"/>
      <c r="O16" s="25"/>
    </row>
    <row r="17" spans="2:15" ht="15.75" customHeight="1">
      <c r="B17" s="90" t="s">
        <v>49</v>
      </c>
      <c r="C17" s="111">
        <v>2019</v>
      </c>
      <c r="D17" s="129" t="s">
        <v>40</v>
      </c>
      <c r="E17" s="130"/>
      <c r="F17" s="109">
        <f ca="1">LOOKUP($C$17,calc!$C$42:$P$42,calc!C3:I3)</f>
        <v>0</v>
      </c>
      <c r="L17" s="25"/>
      <c r="M17" s="25"/>
      <c r="N17" s="25"/>
      <c r="O17" s="25"/>
    </row>
    <row r="18" spans="2:15" ht="15.75" customHeight="1">
      <c r="B18" s="89" t="str">
        <f>"Berekening van de KIA "&amp;C17&amp;""</f>
        <v>Berekening van de KIA 2019</v>
      </c>
      <c r="D18" s="112" t="s">
        <v>8</v>
      </c>
      <c r="E18" s="112" t="s">
        <v>9</v>
      </c>
      <c r="F18" s="112" t="s">
        <v>41</v>
      </c>
      <c r="L18" s="25"/>
      <c r="M18" s="25"/>
      <c r="N18" s="25"/>
      <c r="O18" s="25"/>
    </row>
    <row r="19" spans="2:15" ht="15.75" customHeight="1">
      <c r="B19" s="93" t="s">
        <v>50</v>
      </c>
      <c r="C19" s="94"/>
      <c r="D19" s="102">
        <v>0</v>
      </c>
      <c r="E19" s="102">
        <f>LOOKUP($C$17,calc!$C$42:$P$42,calc!C43:P43)</f>
        <v>2300</v>
      </c>
      <c r="F19" s="103" t="str">
        <f ca="1">IF(F17&lt;E19,("€ 0"),0)</f>
        <v>€ 0</v>
      </c>
      <c r="L19" s="25"/>
      <c r="M19" s="25"/>
      <c r="N19" s="25"/>
      <c r="O19" s="25"/>
    </row>
    <row r="20" spans="2:15" ht="15.75" customHeight="1">
      <c r="B20" s="93" t="s">
        <v>13</v>
      </c>
      <c r="C20" s="94"/>
      <c r="D20" s="102">
        <f>E19</f>
        <v>2300</v>
      </c>
      <c r="E20" s="102">
        <f>LOOKUP($C$17,calc!$C$42:$P$42,calc!C44:P44)</f>
        <v>57321</v>
      </c>
      <c r="F20" s="104">
        <f ca="1">IF(AND(F17&gt;D20,F17&lt;=E20),0.28*F17,(0))</f>
        <v>0</v>
      </c>
      <c r="L20" s="25"/>
      <c r="M20" s="25"/>
      <c r="N20" s="25"/>
      <c r="O20" s="25"/>
    </row>
    <row r="21" spans="2:15" ht="15.75" customHeight="1">
      <c r="B21" s="93" t="str">
        <f>"De KIA is € "&amp;calc!D28&amp;"."&amp;calc!F28&amp;calc!H28&amp;calc!I28&amp;""</f>
        <v>De KIA is € 16.051</v>
      </c>
      <c r="C21" s="94"/>
      <c r="D21" s="102">
        <f t="shared" ref="D21:D23" si="1">E20</f>
        <v>57321</v>
      </c>
      <c r="E21" s="102">
        <f>LOOKUP($C$17,calc!$C$42:$P$42,calc!C45:P45)</f>
        <v>106150</v>
      </c>
      <c r="F21" s="104">
        <f ca="1">IF(AND(F17&gt;D21,F17&lt;=E21),(calc!C28),(0))</f>
        <v>0</v>
      </c>
      <c r="L21" s="25"/>
      <c r="M21" s="25"/>
      <c r="N21" s="25"/>
      <c r="O21" s="25"/>
    </row>
    <row r="22" spans="2:15" ht="30" customHeight="1">
      <c r="B22" s="93" t="str">
        <f>"De KIA is € "&amp;calc!$D$28&amp;"."&amp;calc!F28&amp;calc!H28&amp;calc!I28&amp;" minus "&amp;calc!$D$29&amp;"% van het gedeelte van het investeringsbedrag dat de € "&amp;calc!$D$31&amp;"."&amp;calc!F31&amp;calc!H31&amp;calc!I31&amp;" te boven gaat"</f>
        <v>De KIA is € 16.051 minus 7,56% van het gedeelte van het investeringsbedrag dat de € 106.150 te boven gaat</v>
      </c>
      <c r="C22" s="94"/>
      <c r="D22" s="102">
        <f t="shared" si="1"/>
        <v>106150</v>
      </c>
      <c r="E22" s="102">
        <f>LOOKUP($C$17,calc!$C$42:$P$42,calc!C46:P46)</f>
        <v>318449</v>
      </c>
      <c r="F22" s="104">
        <f ca="1">IF(AND(F17&gt;D22,F17&lt;=E22),(calc!C28-(calc!C29*(calc!I3-calc!C31))),(0))</f>
        <v>0</v>
      </c>
      <c r="L22" s="25"/>
      <c r="M22" s="25"/>
      <c r="N22" s="25"/>
      <c r="O22" s="25"/>
    </row>
    <row r="23" spans="2:15" ht="15.75" customHeight="1">
      <c r="B23" s="96" t="s">
        <v>50</v>
      </c>
      <c r="C23" s="97"/>
      <c r="D23" s="105">
        <f t="shared" si="1"/>
        <v>318449</v>
      </c>
      <c r="E23" s="110"/>
      <c r="F23" s="106">
        <f ca="1">IF(F17&gt;D23,("€ 0,-"),(0))</f>
        <v>0</v>
      </c>
      <c r="L23" s="25"/>
      <c r="M23" s="25"/>
      <c r="N23" s="25"/>
      <c r="O23" s="25"/>
    </row>
    <row r="24" spans="2:15" ht="15.75" customHeight="1">
      <c r="B24" s="98" t="str">
        <f>"De investeringsaftrek over het jaar "&amp;C17&amp;" bedraagt "</f>
        <v xml:space="preserve">De investeringsaftrek over het jaar 2019 bedraagt </v>
      </c>
      <c r="C24" s="99"/>
      <c r="D24" s="107"/>
      <c r="E24" s="107"/>
      <c r="F24" s="108">
        <f ca="1">SUM(F19:F23)</f>
        <v>0</v>
      </c>
      <c r="L24" s="25"/>
      <c r="M24" s="25"/>
      <c r="N24" s="25"/>
      <c r="O24" s="25"/>
    </row>
    <row r="25" spans="2:15" ht="15.75" customHeight="1">
      <c r="L25" s="25"/>
      <c r="M25" s="25"/>
      <c r="N25" s="25"/>
      <c r="O25" s="25"/>
    </row>
    <row r="26" spans="2:15" ht="15.75" customHeight="1">
      <c r="B26" s="89" t="str">
        <f>"Berekening KIA "&amp;C17&amp;" volgens de inspecteur"</f>
        <v>Berekening KIA 2019 volgens de inspecteur</v>
      </c>
      <c r="L26" s="88" t="s">
        <v>0</v>
      </c>
      <c r="M26" s="25"/>
      <c r="N26" s="25"/>
      <c r="O26" s="25"/>
    </row>
    <row r="27" spans="2:15" ht="15.75" customHeight="1">
      <c r="B27" s="127" t="str">
        <f>"De KIA over het jaar "&amp;C17&amp;" bedraagt "&amp;calc!E32&amp;"% van de totale investeringen van het samenwerkingsverband."</f>
        <v>De KIA over het jaar 2019 bedraagt 0% van de totale investeringen van het samenwerkingsverband.</v>
      </c>
      <c r="C27" s="128"/>
      <c r="D27" s="128"/>
      <c r="E27" s="128"/>
      <c r="F27" s="128"/>
      <c r="G27" s="128"/>
      <c r="H27" s="128"/>
      <c r="I27" s="128"/>
      <c r="J27" s="113"/>
      <c r="L27" s="25"/>
      <c r="M27" s="25"/>
      <c r="N27" s="25"/>
      <c r="O27" s="25"/>
    </row>
    <row r="28" spans="2:15" ht="15.75" customHeight="1">
      <c r="B28" s="127" t="str">
        <f>"De KIA voor deze vennoot bedraagt "&amp;calc!E32&amp;"% van de buitenvennootschappelijke investeringen (€ "&amp;calc!D36&amp;"."&amp;calc!F36&amp;calc!H36&amp;calc!I36&amp;") plus 1/"&amp;calc!C33&amp;" deel van de investeringen (€ "&amp;calc!D35&amp;"."&amp;calc!F35&amp;calc!H35&amp;calc!I35&amp;") van het samenwerkingsverband = € "&amp;calc!D39&amp;"."&amp;calc!F39&amp;calc!H39&amp;calc!I39&amp;""</f>
        <v>De KIA voor deze vennoot bedraagt 0% van de buitenvennootschappelijke investeringen (€ 0.000) plus 1/1 deel van de investeringen (€ 0.000) van het samenwerkingsverband = € 0.000</v>
      </c>
      <c r="C28" s="128"/>
      <c r="D28" s="128"/>
      <c r="E28" s="128"/>
      <c r="F28" s="128"/>
      <c r="G28" s="128"/>
      <c r="H28" s="128"/>
      <c r="I28" s="128"/>
      <c r="J28" s="113"/>
      <c r="L28" s="25"/>
      <c r="M28" s="25"/>
      <c r="N28" s="25"/>
      <c r="O28" s="25"/>
    </row>
    <row r="29" spans="2:15" ht="15.75" customHeight="1">
      <c r="L29" s="25"/>
      <c r="M29" s="25"/>
      <c r="N29" s="25"/>
      <c r="O29" s="25"/>
    </row>
    <row r="30" spans="2:15" ht="15.75" customHeight="1">
      <c r="B30" s="131" t="str">
        <f>"Berekening KIA "&amp;C17&amp;" volgens Gerechtshof 's-Hertogenbosch (ECLI:NL:GHSHE:2017:5282)"</f>
        <v>Berekening KIA 2019 volgens Gerechtshof 's-Hertogenbosch (ECLI:NL:GHSHE:2017:5282)</v>
      </c>
      <c r="C30" s="131"/>
      <c r="D30" s="131"/>
      <c r="E30" s="131"/>
      <c r="F30" s="131"/>
      <c r="G30" s="131"/>
      <c r="H30" s="131"/>
      <c r="I30" s="131"/>
      <c r="L30" s="88" t="s">
        <v>0</v>
      </c>
      <c r="M30" s="25"/>
      <c r="N30" s="25"/>
      <c r="O30" s="25"/>
    </row>
    <row r="31" spans="2:15" ht="15.75" customHeight="1">
      <c r="B31" s="127" t="str">
        <f ca="1">IF(F17&gt;D20,IF(F17&lt;E20,"De KIA over het jaar "&amp;C17&amp;" bedraagt 28% van het investeringsbedrag","De KIA over het jaar "&amp;C17&amp;" bedraagt "&amp;calc!D40&amp;"."&amp;calc!F40&amp;calc!H40&amp;calc!I40&amp;",- (vast bedrag)"),"De KIA over het jaar "&amp;C17&amp;" bedraagt € 0.")</f>
        <v>De KIA over het jaar 2019 bedraagt € 0.</v>
      </c>
      <c r="C31" s="128"/>
      <c r="D31" s="128"/>
      <c r="E31" s="128"/>
      <c r="F31" s="128"/>
      <c r="G31" s="128"/>
      <c r="H31" s="128"/>
      <c r="I31" s="128"/>
      <c r="J31" s="113"/>
      <c r="L31" s="25"/>
      <c r="M31" s="25"/>
      <c r="N31" s="25"/>
      <c r="O31" s="25"/>
    </row>
    <row r="32" spans="2:15" ht="15.75" customHeight="1">
      <c r="B32" s="127" t="str">
        <f ca="1">IF(F17&lt;D20,"De KIA bedraagt € 0.",IF(F17&lt;E20,"De KIA voor deze vennoot bedraagt 28% van de buitenvennootschappelijke investeringen (€ "&amp;calc!D36&amp;"."&amp;calc!F36&amp;calc!H36&amp;calc!I36&amp;",-) plus 1/"&amp;calc!C33&amp;" van de investeringen (€ "&amp;calc!D35&amp;"."&amp;calc!F35&amp;calc!H35&amp;calc!I35&amp;",-) van het samenwerkingsverband = € "&amp;calc!D39&amp;"."&amp;calc!F39&amp;calc!H39&amp;calc!I39&amp;",-","De KIA voor deze vennoot bedraagt "&amp;calc!D40&amp;"."&amp;calc!F40&amp;calc!H40&amp;calc!I40&amp;",-"))</f>
        <v>De KIA bedraagt € 0.</v>
      </c>
      <c r="C32" s="128"/>
      <c r="D32" s="128"/>
      <c r="E32" s="128"/>
      <c r="F32" s="128"/>
      <c r="G32" s="128"/>
      <c r="H32" s="128"/>
      <c r="I32" s="128"/>
      <c r="J32" s="113"/>
      <c r="L32" s="25"/>
      <c r="M32" s="25"/>
      <c r="N32" s="25"/>
      <c r="O32" s="25"/>
    </row>
    <row r="33" spans="1:15" ht="15.75" customHeight="1">
      <c r="L33" s="25"/>
      <c r="M33" s="25"/>
      <c r="N33" s="25"/>
      <c r="O33" s="25"/>
    </row>
    <row r="34" spans="1:15" ht="15.75" customHeight="1">
      <c r="B34" s="131" t="str">
        <f>"Berekening KIA "&amp;C17&amp;" volgens de Hoge Raad (ECLI:NL:HR:2019:785)"</f>
        <v>Berekening KIA 2019 volgens de Hoge Raad (ECLI:NL:HR:2019:785)</v>
      </c>
      <c r="C34" s="131"/>
      <c r="D34" s="131"/>
      <c r="E34" s="131"/>
      <c r="F34" s="131"/>
      <c r="G34" s="131"/>
      <c r="H34" s="131"/>
      <c r="I34" s="131"/>
      <c r="L34" s="88" t="s">
        <v>0</v>
      </c>
      <c r="M34" s="25"/>
      <c r="N34" s="25"/>
      <c r="O34" s="25"/>
    </row>
    <row r="35" spans="1:15" ht="15.75" customHeight="1">
      <c r="B35" s="127" t="str">
        <f ca="1">IF(AND(calc!C36&gt;0,calc!C37&gt;calc!C30,calc!C37&lt;calc!C31,calc!C38&gt;calc!C30,calc!C38&lt;calc!C31),IF(F17&gt;D20,IF(F17&lt;E20,"De KIA over het jaar "&amp;C17&amp;" bedraagt 28% van het investeringsbedrag","De KIA over het jaar "&amp;C17&amp;" bedraagt "&amp;calc!D40&amp;"."&amp;calc!F40&amp;calc!H40&amp;calc!I40&amp;",- (vast bedrag)"),"De KIA over het jaar "&amp;C17&amp;" bedraagt € 0."),"De KIA over het jaar "&amp;C17&amp;" bedraagt "&amp;calc!E32&amp;"% van de totale investeringen van het samenwerkingsverband.")</f>
        <v>De KIA over het jaar 2019 bedraagt 0% van de totale investeringen van het samenwerkingsverband.</v>
      </c>
      <c r="C35" s="128"/>
      <c r="D35" s="128"/>
      <c r="E35" s="128"/>
      <c r="F35" s="128"/>
      <c r="G35" s="128"/>
      <c r="H35" s="128"/>
      <c r="I35" s="128"/>
      <c r="J35" s="121"/>
      <c r="L35" s="25"/>
      <c r="M35" s="25"/>
      <c r="N35" s="25"/>
      <c r="O35" s="25"/>
    </row>
    <row r="36" spans="1:15" ht="15.75" customHeight="1">
      <c r="B36" s="127" t="str">
        <f ca="1">IF(AND(calc!C36&gt;0,calc!C37&gt;calc!C30,calc!C37&lt;calc!C31,calc!C38&gt;calc!C30,calc!C38&lt;calc!C31),IF(F17&lt;D20,"De KIA bedraagt € 0.",IF(F17&lt;E20,"De KIA voor deze vennoot bedraagt 28% van de buitenvennootschappelijke investeringen (€ "&amp;calc!D36&amp;"."&amp;calc!F36&amp;calc!H36&amp;calc!I36&amp;",-) plus 1/"&amp;calc!C33&amp;" van de investeringen (€ "&amp;calc!D35&amp;"."&amp;calc!F35&amp;calc!H35&amp;calc!I35&amp;",-) van het samenwerkingsverband = € "&amp;calc!D39&amp;"."&amp;calc!F39&amp;calc!H39&amp;calc!I39&amp;",-","De KIA voor deze vennoot bedraagt "&amp;calc!D40&amp;"."&amp;calc!F40&amp;calc!H40&amp;calc!I40&amp;",-")),"De KIA voor deze vennoot bedraagt "&amp;calc!E32&amp;"% van de buitenvennootschappelijke investeringen (€ "&amp;calc!D36&amp;"."&amp;calc!F36&amp;calc!H36&amp;calc!I36&amp;") plus 1/"&amp;calc!C33&amp;" deel van de investeringen (€ "&amp;calc!D35&amp;"."&amp;calc!F35&amp;calc!H35&amp;calc!I35&amp;") van het samenwerkingsverband = € "&amp;calc!D39&amp;"."&amp;calc!F39&amp;calc!H39&amp;calc!I39&amp;"")</f>
        <v>De KIA voor deze vennoot bedraagt 0% van de buitenvennootschappelijke investeringen (€ 0.000) plus 1/1 deel van de investeringen (€ 0.000) van het samenwerkingsverband = € 0.000</v>
      </c>
      <c r="C36" s="128"/>
      <c r="D36" s="128"/>
      <c r="E36" s="128"/>
      <c r="F36" s="128"/>
      <c r="G36" s="128"/>
      <c r="H36" s="128"/>
      <c r="I36" s="128"/>
      <c r="J36" s="121"/>
      <c r="L36" s="25"/>
      <c r="M36" s="25"/>
      <c r="N36" s="25"/>
      <c r="O36" s="25"/>
    </row>
    <row r="37" spans="1:15" ht="15.75" customHeight="1">
      <c r="L37" s="25"/>
      <c r="M37" s="25"/>
      <c r="N37" s="25"/>
      <c r="O37" s="25"/>
    </row>
    <row r="38" spans="1:15" ht="15.75" customHeight="1">
      <c r="A38" s="25"/>
      <c r="B38" s="25"/>
      <c r="C38" s="25"/>
      <c r="D38" s="25"/>
      <c r="E38" s="25"/>
      <c r="F38" s="25"/>
      <c r="G38" s="25"/>
      <c r="H38" s="25"/>
      <c r="I38" s="25"/>
      <c r="J38" s="25"/>
      <c r="K38" s="25"/>
      <c r="L38" s="25"/>
      <c r="M38" s="25"/>
      <c r="N38" s="25"/>
      <c r="O38" s="25"/>
    </row>
  </sheetData>
  <sheetProtection algorithmName="SHA-512" hashValue="LxMsLXPb8wZcIShzn5McVFrtmAWxsKxs0feQg/wUog2BGdLJCRNY4W3z6pYg8drwOwgkreJDoMw4OrnT1tn8Bg==" saltValue="xkslh9tziQSscCuBaWsnlg==" spinCount="100000" sheet="1" objects="1" scenarios="1"/>
  <mergeCells count="9">
    <mergeCell ref="B27:I27"/>
    <mergeCell ref="B28:I28"/>
    <mergeCell ref="D17:E17"/>
    <mergeCell ref="B35:I35"/>
    <mergeCell ref="B36:I36"/>
    <mergeCell ref="B30:I30"/>
    <mergeCell ref="B34:I34"/>
    <mergeCell ref="B32:I32"/>
    <mergeCell ref="B31:I31"/>
  </mergeCells>
  <phoneticPr fontId="1" type="noConversion"/>
  <dataValidations count="2">
    <dataValidation errorStyle="warning" allowBlank="1" showInputMessage="1" showErrorMessage="1" errorTitle="Oude jaren" error="Voor 2011 en eerder wordt gerekend met de tabel van 2012." sqref="I2:J2" xr:uid="{00000000-0002-0000-0100-000000000000}"/>
    <dataValidation type="list" allowBlank="1" showInputMessage="1" showErrorMessage="1" sqref="C17" xr:uid="{00000000-0002-0000-0100-000001000000}">
      <formula1>$C$5:$J$5</formula1>
    </dataValidation>
  </dataValidations>
  <hyperlinks>
    <hyperlink ref="L2" location="Home!A1" tooltip="Home" display="Ç" xr:uid="{00000000-0004-0000-0100-000000000000}"/>
    <hyperlink ref="B3" r:id="rId1" xr:uid="{00000000-0004-0000-0100-000001000000}"/>
    <hyperlink ref="B30:I30" r:id="rId2" display="http://deeplink.rechtspraak.nl/uitspraak?id=ECLI:NL:GHSHE:2017:5282" xr:uid="{00000000-0004-0000-0100-000002000000}"/>
    <hyperlink ref="B34:I34" r:id="rId3" display="http://deeplink.rechtspraak.nl/uitspraak?id=ECLI:NL:HR:2019:785" xr:uid="{00000000-0004-0000-0100-000003000000}"/>
  </hyperlinks>
  <pageMargins left="0.7" right="0.7" top="0.57999999999999996" bottom="0.59" header="0.3" footer="0.3"/>
  <pageSetup paperSize="9" orientation="landscape" r:id="rId4"/>
  <drawing r:id="rId5"/>
  <legacy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P50"/>
  <sheetViews>
    <sheetView showGridLines="0" showRowColHeaders="0" topLeftCell="A19" workbookViewId="0">
      <selection activeCell="A41" sqref="A41"/>
    </sheetView>
  </sheetViews>
  <sheetFormatPr defaultColWidth="5.5703125" defaultRowHeight="11.25"/>
  <cols>
    <col min="1" max="1" width="40" style="32" bestFit="1" customWidth="1"/>
    <col min="2" max="2" width="6.28515625" style="32" customWidth="1"/>
    <col min="3" max="3" width="9.140625" style="32" bestFit="1" customWidth="1"/>
    <col min="4" max="16" width="8.7109375" style="32" bestFit="1" customWidth="1"/>
    <col min="17" max="16384" width="5.5703125" style="32"/>
  </cols>
  <sheetData>
    <row r="1" spans="1:16">
      <c r="A1" s="38"/>
      <c r="B1" s="38"/>
      <c r="J1" s="65"/>
      <c r="K1" s="65"/>
      <c r="L1" s="65"/>
      <c r="M1" s="65"/>
      <c r="N1" s="65"/>
      <c r="O1" s="65"/>
      <c r="P1" s="65"/>
    </row>
    <row r="2" spans="1:16" s="37" customFormat="1">
      <c r="A2" s="45" t="s">
        <v>35</v>
      </c>
      <c r="B2" s="45"/>
      <c r="C2" s="61">
        <v>2012</v>
      </c>
      <c r="D2" s="61">
        <v>2013</v>
      </c>
      <c r="E2" s="61">
        <v>2014</v>
      </c>
      <c r="F2" s="61">
        <v>2015</v>
      </c>
      <c r="G2" s="61">
        <v>2016</v>
      </c>
      <c r="H2" s="61">
        <v>2017</v>
      </c>
      <c r="I2" s="61">
        <v>2018</v>
      </c>
      <c r="J2" s="61">
        <v>2019</v>
      </c>
      <c r="K2" s="67"/>
      <c r="L2" s="66"/>
      <c r="M2" s="67"/>
      <c r="N2" s="66"/>
      <c r="O2" s="67"/>
      <c r="P2" s="66"/>
    </row>
    <row r="3" spans="1:16">
      <c r="A3" s="70" t="s">
        <v>36</v>
      </c>
      <c r="B3" s="70"/>
      <c r="C3" s="71">
        <f>'1'!C6+'1'!C7</f>
        <v>0</v>
      </c>
      <c r="D3" s="71">
        <f>'1'!D6+'1'!D7</f>
        <v>0</v>
      </c>
      <c r="E3" s="71">
        <f>'1'!E6+'1'!E7</f>
        <v>0</v>
      </c>
      <c r="F3" s="71">
        <f>'1'!F6+'1'!F7</f>
        <v>0</v>
      </c>
      <c r="G3" s="71">
        <f>'1'!G6+'1'!G7</f>
        <v>0</v>
      </c>
      <c r="H3" s="71">
        <f>'1'!H6+'1'!H7</f>
        <v>0</v>
      </c>
      <c r="I3" s="71">
        <f>'1'!I6+'1'!I7</f>
        <v>0</v>
      </c>
      <c r="J3" s="71">
        <f>'1'!J6+'1'!J7</f>
        <v>0</v>
      </c>
      <c r="K3" s="68"/>
      <c r="L3" s="68"/>
      <c r="M3" s="68"/>
      <c r="N3" s="68"/>
      <c r="O3" s="68"/>
      <c r="P3" s="68"/>
    </row>
    <row r="4" spans="1:16">
      <c r="A4" s="47" t="s">
        <v>27</v>
      </c>
      <c r="B4" s="47"/>
      <c r="C4" s="48">
        <f t="shared" ref="C4:J4" si="0">IF(C3&lt;=$C$43,0,0)</f>
        <v>0</v>
      </c>
      <c r="D4" s="48">
        <f t="shared" si="0"/>
        <v>0</v>
      </c>
      <c r="E4" s="48">
        <f t="shared" si="0"/>
        <v>0</v>
      </c>
      <c r="F4" s="48">
        <f t="shared" si="0"/>
        <v>0</v>
      </c>
      <c r="G4" s="48">
        <f t="shared" si="0"/>
        <v>0</v>
      </c>
      <c r="H4" s="48">
        <f t="shared" si="0"/>
        <v>0</v>
      </c>
      <c r="I4" s="48">
        <f t="shared" si="0"/>
        <v>0</v>
      </c>
      <c r="J4" s="48">
        <f t="shared" si="0"/>
        <v>0</v>
      </c>
      <c r="K4" s="68"/>
      <c r="L4" s="68"/>
      <c r="M4" s="68"/>
      <c r="N4" s="68"/>
      <c r="O4" s="68"/>
      <c r="P4" s="68"/>
    </row>
    <row r="5" spans="1:16">
      <c r="A5" s="49" t="s">
        <v>51</v>
      </c>
      <c r="B5" s="49"/>
      <c r="C5" s="60">
        <f t="shared" ref="C5:J5" si="1">IF(AND(C3&gt;C$43,C3&lt;=C$44),(C$48*C3),(0))</f>
        <v>0</v>
      </c>
      <c r="D5" s="60">
        <f t="shared" si="1"/>
        <v>0</v>
      </c>
      <c r="E5" s="60">
        <f t="shared" si="1"/>
        <v>0</v>
      </c>
      <c r="F5" s="60">
        <f t="shared" si="1"/>
        <v>0</v>
      </c>
      <c r="G5" s="60">
        <f t="shared" si="1"/>
        <v>0</v>
      </c>
      <c r="H5" s="60">
        <f t="shared" si="1"/>
        <v>0</v>
      </c>
      <c r="I5" s="60">
        <f t="shared" si="1"/>
        <v>0</v>
      </c>
      <c r="J5" s="60">
        <f t="shared" si="1"/>
        <v>0</v>
      </c>
      <c r="K5" s="68"/>
      <c r="L5" s="68"/>
      <c r="M5" s="68"/>
      <c r="N5" s="68"/>
      <c r="O5" s="68"/>
      <c r="P5" s="68"/>
    </row>
    <row r="6" spans="1:16">
      <c r="A6" s="47" t="s">
        <v>30</v>
      </c>
      <c r="B6" s="47"/>
      <c r="C6" s="48">
        <f t="shared" ref="C6:J6" si="2">IF(AND(C3&gt;C$44,C3&lt;=C$45),(C$49),(0))</f>
        <v>0</v>
      </c>
      <c r="D6" s="48">
        <f t="shared" si="2"/>
        <v>0</v>
      </c>
      <c r="E6" s="48">
        <f t="shared" si="2"/>
        <v>0</v>
      </c>
      <c r="F6" s="48">
        <f t="shared" si="2"/>
        <v>0</v>
      </c>
      <c r="G6" s="48">
        <f t="shared" si="2"/>
        <v>0</v>
      </c>
      <c r="H6" s="48">
        <f t="shared" si="2"/>
        <v>0</v>
      </c>
      <c r="I6" s="48">
        <f t="shared" si="2"/>
        <v>0</v>
      </c>
      <c r="J6" s="48">
        <f t="shared" si="2"/>
        <v>0</v>
      </c>
      <c r="K6" s="68"/>
      <c r="L6" s="68"/>
      <c r="M6" s="68"/>
      <c r="N6" s="68"/>
      <c r="O6" s="68"/>
      <c r="P6" s="68"/>
    </row>
    <row r="7" spans="1:16">
      <c r="A7" s="49" t="s">
        <v>28</v>
      </c>
      <c r="B7" s="49"/>
      <c r="C7" s="60">
        <f t="shared" ref="C7:J7" si="3">IF(AND(C3&gt;C$45,C3&lt;=C$46),(C$49-((C3-C$45)*C$50)),(0))</f>
        <v>0</v>
      </c>
      <c r="D7" s="60">
        <f t="shared" si="3"/>
        <v>0</v>
      </c>
      <c r="E7" s="60">
        <f t="shared" si="3"/>
        <v>0</v>
      </c>
      <c r="F7" s="60">
        <f t="shared" si="3"/>
        <v>0</v>
      </c>
      <c r="G7" s="60">
        <f t="shared" si="3"/>
        <v>0</v>
      </c>
      <c r="H7" s="60">
        <f t="shared" si="3"/>
        <v>0</v>
      </c>
      <c r="I7" s="60">
        <f t="shared" si="3"/>
        <v>0</v>
      </c>
      <c r="J7" s="60">
        <f t="shared" si="3"/>
        <v>0</v>
      </c>
      <c r="K7" s="68"/>
      <c r="L7" s="68"/>
      <c r="M7" s="68"/>
      <c r="N7" s="68"/>
      <c r="O7" s="68"/>
      <c r="P7" s="68"/>
    </row>
    <row r="8" spans="1:16">
      <c r="A8" s="47" t="s">
        <v>29</v>
      </c>
      <c r="B8" s="47"/>
      <c r="C8" s="48">
        <f t="shared" ref="C8:J8" si="4">IF(C3&gt;C$46,(0),(0))</f>
        <v>0</v>
      </c>
      <c r="D8" s="48">
        <f t="shared" si="4"/>
        <v>0</v>
      </c>
      <c r="E8" s="48">
        <f t="shared" si="4"/>
        <v>0</v>
      </c>
      <c r="F8" s="48">
        <f t="shared" si="4"/>
        <v>0</v>
      </c>
      <c r="G8" s="48">
        <f t="shared" si="4"/>
        <v>0</v>
      </c>
      <c r="H8" s="48">
        <f t="shared" si="4"/>
        <v>0</v>
      </c>
      <c r="I8" s="48">
        <f t="shared" si="4"/>
        <v>0</v>
      </c>
      <c r="J8" s="48">
        <f t="shared" si="4"/>
        <v>0</v>
      </c>
      <c r="K8" s="68"/>
      <c r="L8" s="68"/>
      <c r="M8" s="68"/>
      <c r="N8" s="68"/>
      <c r="O8" s="68"/>
      <c r="P8" s="68"/>
    </row>
    <row r="9" spans="1:16">
      <c r="A9" s="52"/>
      <c r="B9" s="52"/>
      <c r="C9" s="53">
        <f t="shared" ref="C9" si="5">MAX(0,SUM(C4:C8))</f>
        <v>0</v>
      </c>
      <c r="D9" s="53">
        <f t="shared" ref="D9" si="6">MAX(0,SUM(D4:D8))</f>
        <v>0</v>
      </c>
      <c r="E9" s="53">
        <f t="shared" ref="E9" si="7">MAX(0,SUM(E4:E8))</f>
        <v>0</v>
      </c>
      <c r="F9" s="53">
        <f t="shared" ref="F9" si="8">MAX(0,SUM(F4:F8))</f>
        <v>0</v>
      </c>
      <c r="G9" s="53">
        <f t="shared" ref="G9" si="9">MAX(0,SUM(G4:G8))</f>
        <v>0</v>
      </c>
      <c r="H9" s="53">
        <f t="shared" ref="H9" si="10">MAX(0,SUM(H4:H8))</f>
        <v>0</v>
      </c>
      <c r="I9" s="53">
        <f t="shared" ref="I9" si="11">MAX(0,SUM(I4:I8))</f>
        <v>0</v>
      </c>
      <c r="J9" s="53">
        <f t="shared" ref="J9" si="12">MAX(0,SUM(J4:J8))</f>
        <v>0</v>
      </c>
      <c r="K9" s="68"/>
      <c r="L9" s="68"/>
      <c r="M9" s="68"/>
      <c r="N9" s="68"/>
      <c r="O9" s="68"/>
      <c r="P9" s="68"/>
    </row>
    <row r="10" spans="1:16">
      <c r="A10" s="49" t="s">
        <v>52</v>
      </c>
      <c r="B10" s="49"/>
      <c r="C10" s="62">
        <f>IF(C3=0,0,C9/C3)</f>
        <v>0</v>
      </c>
      <c r="D10" s="62">
        <f t="shared" ref="D10:I10" si="13">IF(D3=0,0,D9/D3)</f>
        <v>0</v>
      </c>
      <c r="E10" s="62">
        <f t="shared" si="13"/>
        <v>0</v>
      </c>
      <c r="F10" s="62">
        <f t="shared" si="13"/>
        <v>0</v>
      </c>
      <c r="G10" s="62">
        <f t="shared" si="13"/>
        <v>0</v>
      </c>
      <c r="H10" s="62">
        <f t="shared" si="13"/>
        <v>0</v>
      </c>
      <c r="I10" s="62">
        <f t="shared" si="13"/>
        <v>0</v>
      </c>
      <c r="J10" s="62">
        <f t="shared" ref="J10" si="14">IF(J3=0,0,J9/J3)</f>
        <v>0</v>
      </c>
      <c r="K10" s="68"/>
      <c r="L10" s="68"/>
      <c r="M10" s="68"/>
      <c r="N10" s="68"/>
      <c r="O10" s="68"/>
      <c r="P10" s="68"/>
    </row>
    <row r="11" spans="1:16">
      <c r="A11" s="47" t="s">
        <v>31</v>
      </c>
      <c r="B11" s="47"/>
      <c r="C11" s="59">
        <f>('1'!C6/'1'!C8)+'1'!C7</f>
        <v>0</v>
      </c>
      <c r="D11" s="59">
        <f>('1'!D6/'1'!D8)+'1'!D7</f>
        <v>0</v>
      </c>
      <c r="E11" s="59">
        <f>('1'!E6/'1'!E8)+'1'!E7</f>
        <v>0</v>
      </c>
      <c r="F11" s="59">
        <f>('1'!F6/'1'!F8)+'1'!F7</f>
        <v>0</v>
      </c>
      <c r="G11" s="59">
        <f>('1'!G6/'1'!G8)+'1'!G7</f>
        <v>0</v>
      </c>
      <c r="H11" s="59">
        <f>('1'!H6/'1'!H8)+'1'!H7</f>
        <v>0</v>
      </c>
      <c r="I11" s="59">
        <f>('1'!I6/'1'!I8)+'1'!I7</f>
        <v>0</v>
      </c>
      <c r="J11" s="59">
        <f>('1'!J6/'1'!J8)+'1'!J7</f>
        <v>0</v>
      </c>
      <c r="K11" s="65"/>
      <c r="L11" s="65"/>
      <c r="M11" s="65"/>
      <c r="N11" s="65"/>
      <c r="O11" s="65"/>
      <c r="P11" s="65"/>
    </row>
    <row r="12" spans="1:16" s="37" customFormat="1">
      <c r="A12" s="75" t="s">
        <v>32</v>
      </c>
      <c r="B12" s="75"/>
      <c r="C12" s="76">
        <f>C10*C11</f>
        <v>0</v>
      </c>
      <c r="D12" s="76">
        <f t="shared" ref="D12:I12" si="15">D10*D11</f>
        <v>0</v>
      </c>
      <c r="E12" s="76">
        <f t="shared" si="15"/>
        <v>0</v>
      </c>
      <c r="F12" s="76">
        <f t="shared" si="15"/>
        <v>0</v>
      </c>
      <c r="G12" s="76">
        <f t="shared" si="15"/>
        <v>0</v>
      </c>
      <c r="H12" s="76">
        <f t="shared" si="15"/>
        <v>0</v>
      </c>
      <c r="I12" s="76">
        <f t="shared" si="15"/>
        <v>0</v>
      </c>
      <c r="J12" s="76">
        <f t="shared" ref="J12" si="16">J10*J11</f>
        <v>0</v>
      </c>
      <c r="K12" s="77"/>
      <c r="L12" s="77"/>
      <c r="M12" s="77"/>
      <c r="N12" s="77"/>
      <c r="O12" s="77"/>
      <c r="P12" s="77"/>
    </row>
    <row r="13" spans="1:16">
      <c r="A13" s="46"/>
      <c r="B13" s="46"/>
      <c r="C13" s="63"/>
      <c r="D13" s="63"/>
      <c r="E13" s="63"/>
      <c r="F13" s="63"/>
      <c r="G13" s="63"/>
      <c r="H13" s="63"/>
      <c r="I13" s="63"/>
      <c r="J13" s="63"/>
      <c r="K13" s="65"/>
      <c r="L13" s="65"/>
      <c r="M13" s="65"/>
      <c r="N13" s="65"/>
      <c r="O13" s="65"/>
      <c r="P13" s="65"/>
    </row>
    <row r="14" spans="1:16">
      <c r="A14" s="50"/>
      <c r="B14" s="50"/>
      <c r="C14" s="63"/>
      <c r="D14" s="63"/>
      <c r="E14" s="63"/>
      <c r="F14" s="63"/>
      <c r="G14" s="63"/>
      <c r="H14" s="63"/>
      <c r="I14" s="63"/>
      <c r="J14" s="63"/>
      <c r="K14" s="65"/>
      <c r="L14" s="65"/>
      <c r="M14" s="65"/>
      <c r="N14" s="65"/>
      <c r="O14" s="65"/>
      <c r="P14" s="65"/>
    </row>
    <row r="15" spans="1:16">
      <c r="A15" s="51" t="s">
        <v>53</v>
      </c>
      <c r="B15" s="51"/>
      <c r="C15" s="64">
        <v>2012</v>
      </c>
      <c r="D15" s="64">
        <v>2013</v>
      </c>
      <c r="E15" s="64">
        <v>2014</v>
      </c>
      <c r="F15" s="64">
        <v>2015</v>
      </c>
      <c r="G15" s="64">
        <v>2016</v>
      </c>
      <c r="H15" s="64">
        <v>2017</v>
      </c>
      <c r="I15" s="64">
        <v>2018</v>
      </c>
      <c r="J15" s="64">
        <v>2019</v>
      </c>
      <c r="K15" s="69"/>
      <c r="L15" s="54"/>
      <c r="M15" s="69"/>
      <c r="N15" s="54"/>
      <c r="O15" s="69"/>
      <c r="P15" s="54"/>
    </row>
    <row r="16" spans="1:16">
      <c r="A16" s="70" t="s">
        <v>36</v>
      </c>
      <c r="B16" s="70"/>
      <c r="C16" s="72">
        <f>C3</f>
        <v>0</v>
      </c>
      <c r="D16" s="72">
        <f t="shared" ref="D16:I16" si="17">D3</f>
        <v>0</v>
      </c>
      <c r="E16" s="72">
        <f t="shared" si="17"/>
        <v>0</v>
      </c>
      <c r="F16" s="72">
        <f t="shared" si="17"/>
        <v>0</v>
      </c>
      <c r="G16" s="72">
        <f t="shared" si="17"/>
        <v>0</v>
      </c>
      <c r="H16" s="72">
        <f t="shared" si="17"/>
        <v>0</v>
      </c>
      <c r="I16" s="72">
        <f t="shared" si="17"/>
        <v>0</v>
      </c>
      <c r="J16" s="72">
        <f t="shared" ref="J16" si="18">J3</f>
        <v>0</v>
      </c>
      <c r="K16" s="55"/>
      <c r="L16" s="55"/>
      <c r="M16" s="55"/>
      <c r="N16" s="55"/>
      <c r="O16" s="55"/>
      <c r="P16" s="55"/>
    </row>
    <row r="17" spans="1:16">
      <c r="A17" s="47" t="s">
        <v>27</v>
      </c>
      <c r="B17" s="47"/>
      <c r="C17" s="48">
        <f t="shared" ref="C17:J17" si="19">IF(C16&lt;=$C$43,0,0)</f>
        <v>0</v>
      </c>
      <c r="D17" s="48">
        <f t="shared" si="19"/>
        <v>0</v>
      </c>
      <c r="E17" s="48">
        <f t="shared" si="19"/>
        <v>0</v>
      </c>
      <c r="F17" s="48">
        <f t="shared" si="19"/>
        <v>0</v>
      </c>
      <c r="G17" s="48">
        <f t="shared" si="19"/>
        <v>0</v>
      </c>
      <c r="H17" s="48">
        <f t="shared" si="19"/>
        <v>0</v>
      </c>
      <c r="I17" s="48">
        <f t="shared" si="19"/>
        <v>0</v>
      </c>
      <c r="J17" s="48">
        <f t="shared" si="19"/>
        <v>0</v>
      </c>
      <c r="K17" s="56"/>
      <c r="L17" s="56"/>
      <c r="M17" s="56"/>
      <c r="N17" s="56"/>
      <c r="O17" s="56"/>
      <c r="P17" s="56"/>
    </row>
    <row r="18" spans="1:16">
      <c r="A18" s="49" t="s">
        <v>51</v>
      </c>
      <c r="B18" s="49"/>
      <c r="C18" s="60">
        <f t="shared" ref="C18:J18" si="20">IF(AND(C16&gt;C$43,C16&lt;=C$44),(C$48*C16),(0))</f>
        <v>0</v>
      </c>
      <c r="D18" s="60">
        <f t="shared" si="20"/>
        <v>0</v>
      </c>
      <c r="E18" s="60">
        <f t="shared" si="20"/>
        <v>0</v>
      </c>
      <c r="F18" s="60">
        <f t="shared" si="20"/>
        <v>0</v>
      </c>
      <c r="G18" s="60">
        <f t="shared" si="20"/>
        <v>0</v>
      </c>
      <c r="H18" s="60">
        <f t="shared" si="20"/>
        <v>0</v>
      </c>
      <c r="I18" s="60">
        <f t="shared" si="20"/>
        <v>0</v>
      </c>
      <c r="J18" s="60">
        <f t="shared" si="20"/>
        <v>0</v>
      </c>
      <c r="K18" s="57"/>
      <c r="L18" s="57"/>
      <c r="M18" s="57"/>
      <c r="N18" s="57"/>
      <c r="O18" s="57"/>
      <c r="P18" s="57"/>
    </row>
    <row r="19" spans="1:16">
      <c r="A19" s="47" t="s">
        <v>30</v>
      </c>
      <c r="B19" s="47"/>
      <c r="C19" s="48">
        <f t="shared" ref="C19:J19" si="21">IF(AND(C16&gt;C$44,C16&lt;=C$45),(C$49),(0))</f>
        <v>0</v>
      </c>
      <c r="D19" s="48">
        <f t="shared" si="21"/>
        <v>0</v>
      </c>
      <c r="E19" s="48">
        <f t="shared" si="21"/>
        <v>0</v>
      </c>
      <c r="F19" s="48">
        <f t="shared" si="21"/>
        <v>0</v>
      </c>
      <c r="G19" s="48">
        <f t="shared" si="21"/>
        <v>0</v>
      </c>
      <c r="H19" s="48">
        <f t="shared" si="21"/>
        <v>0</v>
      </c>
      <c r="I19" s="48">
        <f t="shared" si="21"/>
        <v>0</v>
      </c>
      <c r="J19" s="48">
        <f t="shared" si="21"/>
        <v>0</v>
      </c>
      <c r="K19" s="57"/>
      <c r="L19" s="57"/>
      <c r="M19" s="57"/>
      <c r="N19" s="57"/>
      <c r="O19" s="57"/>
      <c r="P19" s="57"/>
    </row>
    <row r="20" spans="1:16">
      <c r="A20" s="49" t="s">
        <v>28</v>
      </c>
      <c r="B20" s="49"/>
      <c r="C20" s="60">
        <f t="shared" ref="C20:J20" si="22">IF(AND(C16&gt;C$45,C16&lt;=C$46),(C$49-((C16-C$45)*C$50)),(0))</f>
        <v>0</v>
      </c>
      <c r="D20" s="60">
        <f t="shared" si="22"/>
        <v>0</v>
      </c>
      <c r="E20" s="60">
        <f t="shared" si="22"/>
        <v>0</v>
      </c>
      <c r="F20" s="60">
        <f t="shared" si="22"/>
        <v>0</v>
      </c>
      <c r="G20" s="60">
        <f t="shared" si="22"/>
        <v>0</v>
      </c>
      <c r="H20" s="60">
        <f t="shared" si="22"/>
        <v>0</v>
      </c>
      <c r="I20" s="60">
        <f t="shared" si="22"/>
        <v>0</v>
      </c>
      <c r="J20" s="60">
        <f t="shared" si="22"/>
        <v>0</v>
      </c>
      <c r="K20" s="57"/>
      <c r="L20" s="57"/>
      <c r="M20" s="57"/>
      <c r="N20" s="57"/>
      <c r="O20" s="57"/>
      <c r="P20" s="57"/>
    </row>
    <row r="21" spans="1:16">
      <c r="A21" s="47" t="s">
        <v>29</v>
      </c>
      <c r="B21" s="47"/>
      <c r="C21" s="48">
        <f t="shared" ref="C21:J21" si="23">IF(C16&gt;C$46,(0),(0))</f>
        <v>0</v>
      </c>
      <c r="D21" s="48">
        <f t="shared" si="23"/>
        <v>0</v>
      </c>
      <c r="E21" s="48">
        <f t="shared" si="23"/>
        <v>0</v>
      </c>
      <c r="F21" s="48">
        <f t="shared" si="23"/>
        <v>0</v>
      </c>
      <c r="G21" s="48">
        <f t="shared" si="23"/>
        <v>0</v>
      </c>
      <c r="H21" s="48">
        <f t="shared" si="23"/>
        <v>0</v>
      </c>
      <c r="I21" s="48">
        <f t="shared" si="23"/>
        <v>0</v>
      </c>
      <c r="J21" s="48">
        <f t="shared" si="23"/>
        <v>0</v>
      </c>
      <c r="K21" s="56"/>
      <c r="L21" s="56"/>
      <c r="M21" s="56"/>
      <c r="N21" s="56"/>
      <c r="O21" s="56"/>
      <c r="P21" s="56"/>
    </row>
    <row r="22" spans="1:16">
      <c r="A22" s="52"/>
      <c r="B22" s="52"/>
      <c r="C22" s="53">
        <f t="shared" ref="C22" si="24">MAX(0,SUM(C17:C21))</f>
        <v>0</v>
      </c>
      <c r="D22" s="53">
        <f t="shared" ref="D22" si="25">MAX(0,SUM(D17:D21))</f>
        <v>0</v>
      </c>
      <c r="E22" s="53">
        <f t="shared" ref="E22" si="26">MAX(0,SUM(E17:E21))</f>
        <v>0</v>
      </c>
      <c r="F22" s="53">
        <f t="shared" ref="F22" si="27">MAX(0,SUM(F17:F21))</f>
        <v>0</v>
      </c>
      <c r="G22" s="53">
        <f t="shared" ref="G22" si="28">MAX(0,SUM(G17:G21))</f>
        <v>0</v>
      </c>
      <c r="H22" s="53">
        <f t="shared" ref="H22" si="29">MAX(0,SUM(H17:H21))</f>
        <v>0</v>
      </c>
      <c r="I22" s="53">
        <f t="shared" ref="I22" si="30">MAX(0,SUM(I17:I21))</f>
        <v>0</v>
      </c>
      <c r="J22" s="53">
        <f t="shared" ref="J22" si="31">MAX(0,SUM(J17:J21))</f>
        <v>0</v>
      </c>
      <c r="K22" s="58"/>
      <c r="L22" s="58"/>
      <c r="M22" s="58"/>
      <c r="N22" s="58"/>
      <c r="O22" s="58"/>
      <c r="P22" s="58"/>
    </row>
    <row r="23" spans="1:16">
      <c r="A23" s="49" t="s">
        <v>52</v>
      </c>
      <c r="B23" s="49"/>
      <c r="C23" s="74">
        <f>IF(C16=0,0,C22/C16)</f>
        <v>0</v>
      </c>
      <c r="D23" s="74">
        <f t="shared" ref="D23:I23" si="32">IF(D16=0,0,D22/D16)</f>
        <v>0</v>
      </c>
      <c r="E23" s="74">
        <f t="shared" si="32"/>
        <v>0</v>
      </c>
      <c r="F23" s="74">
        <f t="shared" si="32"/>
        <v>0</v>
      </c>
      <c r="G23" s="74">
        <f t="shared" si="32"/>
        <v>0</v>
      </c>
      <c r="H23" s="74">
        <f t="shared" si="32"/>
        <v>0</v>
      </c>
      <c r="I23" s="74">
        <f t="shared" si="32"/>
        <v>0</v>
      </c>
      <c r="J23" s="74">
        <f t="shared" ref="J23" si="33">IF(J16=0,0,J22/J16)</f>
        <v>0</v>
      </c>
      <c r="K23" s="73"/>
      <c r="L23" s="73"/>
      <c r="M23" s="73"/>
      <c r="N23" s="73"/>
      <c r="O23" s="73"/>
      <c r="P23" s="73"/>
    </row>
    <row r="24" spans="1:16">
      <c r="A24" s="47" t="s">
        <v>31</v>
      </c>
      <c r="B24" s="47"/>
      <c r="C24" s="48">
        <f>('1'!C6/'1'!C8)+'1'!C7</f>
        <v>0</v>
      </c>
      <c r="D24" s="48">
        <f>('1'!D6/'1'!D8)+'1'!D7</f>
        <v>0</v>
      </c>
      <c r="E24" s="48">
        <f>('1'!E6/'1'!E8)+'1'!E7</f>
        <v>0</v>
      </c>
      <c r="F24" s="48">
        <f>('1'!F6/'1'!F8)+'1'!F7</f>
        <v>0</v>
      </c>
      <c r="G24" s="48">
        <f>('1'!G6/'1'!G8)+'1'!G7</f>
        <v>0</v>
      </c>
      <c r="H24" s="48">
        <f>('1'!H6/'1'!H8)+'1'!H7</f>
        <v>0</v>
      </c>
      <c r="I24" s="48">
        <f>('1'!I6/'1'!I8)+'1'!I7</f>
        <v>0</v>
      </c>
      <c r="J24" s="48">
        <f>('1'!J6/'1'!J8)+'1'!J7</f>
        <v>0</v>
      </c>
      <c r="K24" s="73"/>
      <c r="L24" s="73"/>
      <c r="M24" s="73"/>
      <c r="N24" s="73"/>
      <c r="O24" s="73"/>
      <c r="P24" s="73"/>
    </row>
    <row r="25" spans="1:16" s="37" customFormat="1">
      <c r="A25" s="75" t="s">
        <v>32</v>
      </c>
      <c r="B25" s="75"/>
      <c r="C25" s="76">
        <f t="shared" ref="C25:J25" si="34">IF(C16&gt;C44,C22,C23*C24)</f>
        <v>0</v>
      </c>
      <c r="D25" s="76">
        <f t="shared" si="34"/>
        <v>0</v>
      </c>
      <c r="E25" s="76">
        <f t="shared" si="34"/>
        <v>0</v>
      </c>
      <c r="F25" s="76">
        <f t="shared" si="34"/>
        <v>0</v>
      </c>
      <c r="G25" s="76">
        <f t="shared" si="34"/>
        <v>0</v>
      </c>
      <c r="H25" s="76">
        <f t="shared" si="34"/>
        <v>0</v>
      </c>
      <c r="I25" s="76">
        <f t="shared" si="34"/>
        <v>0</v>
      </c>
      <c r="J25" s="76">
        <f t="shared" si="34"/>
        <v>0</v>
      </c>
      <c r="K25" s="77"/>
      <c r="L25" s="77"/>
      <c r="M25" s="77"/>
      <c r="N25" s="77"/>
      <c r="O25" s="77"/>
      <c r="P25" s="77"/>
    </row>
    <row r="27" spans="1:16">
      <c r="A27" s="95">
        <f>'1'!C17</f>
        <v>2019</v>
      </c>
      <c r="B27" s="95"/>
    </row>
    <row r="28" spans="1:16">
      <c r="A28" s="32" t="str">
        <f>"maximum "&amp;A27</f>
        <v>maximum 2019</v>
      </c>
      <c r="C28" s="39">
        <f>LOOKUP($A$27,$C$42:$P$42,C49:P49)</f>
        <v>16051</v>
      </c>
      <c r="D28" s="32">
        <f>ROUNDDOWN(C28/1000,0)</f>
        <v>16</v>
      </c>
      <c r="E28" s="39">
        <f>C28-D28*1000</f>
        <v>51</v>
      </c>
      <c r="F28" s="32">
        <f>ROUNDDOWN(E28/100,0)</f>
        <v>0</v>
      </c>
      <c r="G28" s="39">
        <f>E28-F28*100</f>
        <v>51</v>
      </c>
      <c r="H28" s="32">
        <f>ROUNDDOWN(G28/10,0)</f>
        <v>5</v>
      </c>
      <c r="I28" s="39">
        <f>G28-H28*10</f>
        <v>1</v>
      </c>
    </row>
    <row r="29" spans="1:16">
      <c r="A29" s="32" t="s">
        <v>21</v>
      </c>
      <c r="C29" s="44">
        <f>LOOKUP($A$27,$C$42:$P$42,C50:P50)</f>
        <v>7.5600000000000001E-2</v>
      </c>
      <c r="D29" s="32">
        <f>C29*100</f>
        <v>7.5600000000000005</v>
      </c>
      <c r="G29" s="39"/>
      <c r="I29" s="39"/>
    </row>
    <row r="30" spans="1:16">
      <c r="A30" s="32" t="s">
        <v>23</v>
      </c>
      <c r="C30" s="39">
        <f>LOOKUP($A$27,$C$42:$P$42,C44:P44)</f>
        <v>57321</v>
      </c>
      <c r="D30" s="32">
        <f>ROUNDDOWN(C30/1000,0)</f>
        <v>57</v>
      </c>
      <c r="E30" s="39">
        <f>C30-D30*1000</f>
        <v>321</v>
      </c>
      <c r="F30" s="32">
        <f t="shared" ref="F30" si="35">ROUNDDOWN(E30/100,0)</f>
        <v>3</v>
      </c>
      <c r="G30" s="39">
        <f t="shared" ref="G30" si="36">E30-F30*100</f>
        <v>21</v>
      </c>
      <c r="H30" s="32">
        <f t="shared" ref="H30" si="37">ROUNDDOWN(G30/10,0)</f>
        <v>2</v>
      </c>
      <c r="I30" s="39">
        <f t="shared" ref="I30" si="38">G30-H30*10</f>
        <v>1</v>
      </c>
    </row>
    <row r="31" spans="1:16">
      <c r="A31" s="32" t="s">
        <v>23</v>
      </c>
      <c r="C31" s="39">
        <f>LOOKUP($A$27,$C$42:$P$42,C45:P45)</f>
        <v>106150</v>
      </c>
      <c r="D31" s="32">
        <f>ROUNDDOWN(C31/1000,0)</f>
        <v>106</v>
      </c>
      <c r="E31" s="39">
        <f>C31-D31*1000</f>
        <v>150</v>
      </c>
      <c r="F31" s="32">
        <f t="shared" ref="F31" si="39">ROUNDDOWN(E31/100,0)</f>
        <v>1</v>
      </c>
      <c r="G31" s="39">
        <f t="shared" ref="G31" si="40">E31-F31*100</f>
        <v>50</v>
      </c>
      <c r="H31" s="32">
        <f t="shared" ref="H31" si="41">ROUNDDOWN(G31/10,0)</f>
        <v>5</v>
      </c>
      <c r="I31" s="39">
        <f t="shared" ref="I31" si="42">G31-H31*10</f>
        <v>0</v>
      </c>
    </row>
    <row r="32" spans="1:16">
      <c r="A32" s="32" t="str">
        <f>"KIA-% t.o.v. TOTAAL "&amp;A27</f>
        <v>KIA-% t.o.v. TOTAAL 2019</v>
      </c>
      <c r="C32" s="44">
        <f>LOOKUP($A$27,$C$42:$P$42,C10:P10)</f>
        <v>0</v>
      </c>
      <c r="D32" s="36">
        <f>ROUND(C32*10000,0)</f>
        <v>0</v>
      </c>
      <c r="E32" s="100">
        <f>D32/100</f>
        <v>0</v>
      </c>
      <c r="G32" s="39"/>
      <c r="I32" s="39"/>
    </row>
    <row r="33" spans="1:16">
      <c r="A33" s="32" t="str">
        <f>"Aantal maten in "&amp;A27</f>
        <v>Aantal maten in 2019</v>
      </c>
      <c r="C33" s="101">
        <f>LOOKUP($A$27,'1'!C5:Z5,'1'!C8:Z8)</f>
        <v>1</v>
      </c>
    </row>
    <row r="34" spans="1:16">
      <c r="A34" s="32" t="str">
        <f>"Investeringen samenwerkingsverband "&amp;A27</f>
        <v>Investeringen samenwerkingsverband 2019</v>
      </c>
      <c r="C34" s="39">
        <f>ROUNDUP(LOOKUP($A$27,'1'!$C$5:$Z$5,'1'!C6:Z6),0)</f>
        <v>0</v>
      </c>
      <c r="D34" s="32">
        <f t="shared" ref="D34:D40" si="43">ROUNDDOWN(C34/1000,0)</f>
        <v>0</v>
      </c>
      <c r="E34" s="39">
        <f t="shared" ref="E34:E40" si="44">C34-D34*1000</f>
        <v>0</v>
      </c>
      <c r="F34" s="32">
        <f t="shared" ref="F34:F40" si="45">ROUNDDOWN(E34/100,0)</f>
        <v>0</v>
      </c>
      <c r="G34" s="39">
        <f t="shared" ref="G34:G40" si="46">E34-F34*100</f>
        <v>0</v>
      </c>
      <c r="H34" s="32">
        <f t="shared" ref="H34:H40" si="47">ROUNDDOWN(G34/10,0)</f>
        <v>0</v>
      </c>
      <c r="I34" s="39">
        <f t="shared" ref="I34:I40" si="48">G34-H34*10</f>
        <v>0</v>
      </c>
    </row>
    <row r="35" spans="1:16">
      <c r="A35" s="32" t="str">
        <f>"Investeringen per maat "&amp;A27</f>
        <v>Investeringen per maat 2019</v>
      </c>
      <c r="C35" s="39">
        <f>ROUNDUP((1/C33)*(LOOKUP($A$27,'1'!$C$5:$Z$5,'1'!C6:Z6)),0)</f>
        <v>0</v>
      </c>
      <c r="D35" s="32">
        <f t="shared" si="43"/>
        <v>0</v>
      </c>
      <c r="E35" s="39">
        <f t="shared" si="44"/>
        <v>0</v>
      </c>
      <c r="F35" s="32">
        <f t="shared" si="45"/>
        <v>0</v>
      </c>
      <c r="G35" s="39">
        <f t="shared" si="46"/>
        <v>0</v>
      </c>
      <c r="H35" s="32">
        <f t="shared" si="47"/>
        <v>0</v>
      </c>
      <c r="I35" s="39">
        <f t="shared" si="48"/>
        <v>0</v>
      </c>
    </row>
    <row r="36" spans="1:16">
      <c r="A36" s="32" t="str">
        <f>"buitenv. investeringen in "&amp;A27</f>
        <v>buitenv. investeringen in 2019</v>
      </c>
      <c r="C36" s="39">
        <f>ROUNDUP(LOOKUP($A$27,'1'!$C$5:$Z$5,'1'!C7:Z7),0)</f>
        <v>0</v>
      </c>
      <c r="D36" s="32">
        <f t="shared" si="43"/>
        <v>0</v>
      </c>
      <c r="E36" s="39">
        <f t="shared" si="44"/>
        <v>0</v>
      </c>
      <c r="F36" s="32">
        <f t="shared" si="45"/>
        <v>0</v>
      </c>
      <c r="G36" s="39">
        <f t="shared" si="46"/>
        <v>0</v>
      </c>
      <c r="H36" s="32">
        <f t="shared" si="47"/>
        <v>0</v>
      </c>
      <c r="I36" s="39">
        <f t="shared" si="48"/>
        <v>0</v>
      </c>
    </row>
    <row r="37" spans="1:16">
      <c r="A37" s="32" t="s">
        <v>54</v>
      </c>
      <c r="C37" s="39">
        <f>C34+C36</f>
        <v>0</v>
      </c>
      <c r="D37" s="32">
        <f t="shared" si="43"/>
        <v>0</v>
      </c>
      <c r="E37" s="39">
        <f t="shared" si="44"/>
        <v>0</v>
      </c>
      <c r="F37" s="32">
        <f t="shared" si="45"/>
        <v>0</v>
      </c>
      <c r="G37" s="39">
        <f t="shared" si="46"/>
        <v>0</v>
      </c>
      <c r="H37" s="32">
        <f t="shared" si="47"/>
        <v>0</v>
      </c>
      <c r="I37" s="39">
        <f t="shared" si="48"/>
        <v>0</v>
      </c>
    </row>
    <row r="38" spans="1:16">
      <c r="A38" s="32" t="s">
        <v>42</v>
      </c>
      <c r="C38" s="39">
        <f ca="1">ROUNDUP(LOOKUP($A$27,'1'!$C$5:$Z$5,calc!C11:J11),0)</f>
        <v>0</v>
      </c>
      <c r="D38" s="32">
        <f t="shared" ca="1" si="43"/>
        <v>0</v>
      </c>
      <c r="E38" s="39">
        <f t="shared" ca="1" si="44"/>
        <v>0</v>
      </c>
      <c r="F38" s="32">
        <f t="shared" ca="1" si="45"/>
        <v>0</v>
      </c>
      <c r="G38" s="39">
        <f t="shared" ca="1" si="46"/>
        <v>0</v>
      </c>
      <c r="H38" s="32">
        <f t="shared" ca="1" si="47"/>
        <v>0</v>
      </c>
      <c r="I38" s="39">
        <f t="shared" ca="1" si="48"/>
        <v>0</v>
      </c>
    </row>
    <row r="39" spans="1:16">
      <c r="A39" s="32" t="str">
        <f>"KIA vennoot "&amp;A27&amp;" volgens inspecteur"</f>
        <v>KIA vennoot 2019 volgens inspecteur</v>
      </c>
      <c r="C39" s="39">
        <f>ROUNDUP(LOOKUP($A$27,C2:Z2,C12:Z12),0)</f>
        <v>0</v>
      </c>
      <c r="D39" s="32">
        <f t="shared" si="43"/>
        <v>0</v>
      </c>
      <c r="E39" s="39">
        <f t="shared" si="44"/>
        <v>0</v>
      </c>
      <c r="F39" s="32">
        <f t="shared" si="45"/>
        <v>0</v>
      </c>
      <c r="G39" s="39">
        <f t="shared" si="46"/>
        <v>0</v>
      </c>
      <c r="H39" s="32">
        <f t="shared" si="47"/>
        <v>0</v>
      </c>
      <c r="I39" s="39">
        <f t="shared" si="48"/>
        <v>0</v>
      </c>
    </row>
    <row r="40" spans="1:16">
      <c r="A40" s="32" t="str">
        <f>"KIA vennoot "&amp;A27&amp;" volgens hof"</f>
        <v>KIA vennoot 2019 volgens hof</v>
      </c>
      <c r="C40" s="39">
        <f>ROUNDUP(LOOKUP($A$27,C15:Z15,C25:Z25),0)</f>
        <v>0</v>
      </c>
      <c r="D40" s="32">
        <f t="shared" si="43"/>
        <v>0</v>
      </c>
      <c r="E40" s="39">
        <f t="shared" si="44"/>
        <v>0</v>
      </c>
      <c r="F40" s="32">
        <f t="shared" si="45"/>
        <v>0</v>
      </c>
      <c r="G40" s="39">
        <f t="shared" si="46"/>
        <v>0</v>
      </c>
      <c r="H40" s="32">
        <f t="shared" si="47"/>
        <v>0</v>
      </c>
      <c r="I40" s="39">
        <f t="shared" si="48"/>
        <v>0</v>
      </c>
    </row>
    <row r="42" spans="1:16" s="37" customFormat="1">
      <c r="A42" s="37" t="s">
        <v>14</v>
      </c>
      <c r="C42" s="37">
        <v>2012</v>
      </c>
      <c r="D42" s="37">
        <v>2013</v>
      </c>
      <c r="E42" s="37">
        <v>2014</v>
      </c>
      <c r="F42" s="37">
        <v>2015</v>
      </c>
      <c r="G42" s="37">
        <v>2016</v>
      </c>
      <c r="H42" s="37">
        <v>2017</v>
      </c>
      <c r="I42" s="37">
        <v>2018</v>
      </c>
      <c r="J42" s="37">
        <v>2019</v>
      </c>
      <c r="K42" s="37">
        <v>2020</v>
      </c>
      <c r="L42" s="37">
        <v>2021</v>
      </c>
      <c r="M42" s="37">
        <v>2022</v>
      </c>
      <c r="N42" s="37">
        <v>2023</v>
      </c>
      <c r="O42" s="37">
        <v>2024</v>
      </c>
      <c r="P42" s="37">
        <v>2025</v>
      </c>
    </row>
    <row r="43" spans="1:16">
      <c r="A43" s="32" t="s">
        <v>15</v>
      </c>
      <c r="C43" s="32">
        <v>2300</v>
      </c>
      <c r="D43" s="32">
        <v>2300</v>
      </c>
      <c r="E43" s="32">
        <v>2300</v>
      </c>
      <c r="F43" s="32">
        <v>2300</v>
      </c>
      <c r="G43" s="32">
        <v>2300</v>
      </c>
      <c r="H43" s="32">
        <v>2300</v>
      </c>
      <c r="I43" s="32">
        <v>2300</v>
      </c>
      <c r="J43" s="32">
        <v>2300</v>
      </c>
      <c r="K43" s="32">
        <v>2300</v>
      </c>
      <c r="L43" s="32">
        <v>2300</v>
      </c>
      <c r="M43" s="32">
        <v>2300</v>
      </c>
      <c r="N43" s="32">
        <v>2300</v>
      </c>
      <c r="O43" s="32">
        <v>2300</v>
      </c>
      <c r="P43" s="32">
        <v>2300</v>
      </c>
    </row>
    <row r="44" spans="1:16">
      <c r="A44" s="32" t="s">
        <v>16</v>
      </c>
      <c r="C44" s="32">
        <v>55248</v>
      </c>
      <c r="D44" s="32">
        <v>55248</v>
      </c>
      <c r="E44" s="32">
        <v>55248</v>
      </c>
      <c r="F44" s="32">
        <v>55745</v>
      </c>
      <c r="G44" s="32">
        <v>56024</v>
      </c>
      <c r="H44" s="32">
        <v>56192</v>
      </c>
      <c r="I44" s="32">
        <v>56642</v>
      </c>
      <c r="J44" s="32">
        <v>57321</v>
      </c>
    </row>
    <row r="45" spans="1:16">
      <c r="A45" s="32" t="s">
        <v>17</v>
      </c>
      <c r="C45" s="32">
        <v>102311</v>
      </c>
      <c r="D45" s="32">
        <v>102311</v>
      </c>
      <c r="E45" s="32">
        <v>102311</v>
      </c>
      <c r="F45" s="32">
        <v>103231</v>
      </c>
      <c r="G45" s="32">
        <v>103748</v>
      </c>
      <c r="H45" s="32">
        <v>104059</v>
      </c>
      <c r="I45" s="32">
        <v>104891</v>
      </c>
      <c r="J45" s="32">
        <v>106150</v>
      </c>
    </row>
    <row r="46" spans="1:16">
      <c r="A46" s="32" t="s">
        <v>18</v>
      </c>
      <c r="C46" s="32">
        <v>306931</v>
      </c>
      <c r="D46" s="32">
        <v>306931</v>
      </c>
      <c r="E46" s="32">
        <v>306931</v>
      </c>
      <c r="F46" s="32">
        <v>306693</v>
      </c>
      <c r="G46" s="32">
        <v>311242</v>
      </c>
      <c r="H46" s="32">
        <v>312176</v>
      </c>
      <c r="I46" s="32">
        <v>314673</v>
      </c>
      <c r="J46" s="32">
        <v>318449</v>
      </c>
    </row>
    <row r="47" spans="1:16">
      <c r="A47" s="32" t="s">
        <v>19</v>
      </c>
      <c r="C47" s="33">
        <v>9.9999999999999997E+98</v>
      </c>
      <c r="D47" s="33">
        <v>9.9999999999999997E+98</v>
      </c>
      <c r="E47" s="33">
        <v>9.9999999999999997E+98</v>
      </c>
      <c r="F47" s="33">
        <v>9.9999999999999997E+98</v>
      </c>
      <c r="G47" s="33">
        <v>9.9999999999999997E+98</v>
      </c>
      <c r="H47" s="33">
        <v>9.9999999999999997E+98</v>
      </c>
      <c r="I47" s="33">
        <v>9.9999999999999997E+98</v>
      </c>
      <c r="J47" s="33">
        <v>9.9999999999999997E+98</v>
      </c>
      <c r="K47" s="33">
        <v>9.9999999999999997E+98</v>
      </c>
      <c r="L47" s="33">
        <v>9.9999999999999997E+98</v>
      </c>
      <c r="M47" s="33">
        <v>9.9999999999999997E+98</v>
      </c>
      <c r="N47" s="33">
        <v>9.9999999999999997E+98</v>
      </c>
      <c r="O47" s="33">
        <v>9.9999999999999997E+98</v>
      </c>
      <c r="P47" s="33">
        <v>9.9999999999999997E+98</v>
      </c>
    </row>
    <row r="48" spans="1:16">
      <c r="A48" s="32" t="s">
        <v>20</v>
      </c>
      <c r="C48" s="34">
        <v>0.28000000000000003</v>
      </c>
      <c r="D48" s="34">
        <v>0.28000000000000003</v>
      </c>
      <c r="E48" s="34">
        <v>0.28000000000000003</v>
      </c>
      <c r="F48" s="34">
        <v>0.28000000000000003</v>
      </c>
      <c r="G48" s="34">
        <v>0.28000000000000003</v>
      </c>
      <c r="H48" s="34">
        <v>0.28000000000000003</v>
      </c>
      <c r="I48" s="34">
        <v>0.28000000000000003</v>
      </c>
      <c r="J48" s="34">
        <v>0.28000000000000003</v>
      </c>
      <c r="K48" s="34">
        <v>0.28000000000000003</v>
      </c>
      <c r="L48" s="34">
        <v>0.28000000000000003</v>
      </c>
      <c r="M48" s="34">
        <v>0.28000000000000003</v>
      </c>
      <c r="N48" s="34">
        <v>0.28000000000000003</v>
      </c>
      <c r="O48" s="34">
        <v>0.28000000000000003</v>
      </c>
      <c r="P48" s="34">
        <v>0.28000000000000003</v>
      </c>
    </row>
    <row r="49" spans="1:16">
      <c r="A49" s="32" t="s">
        <v>22</v>
      </c>
      <c r="C49" s="36">
        <f>ROUNDUP(C48*C44,0)</f>
        <v>15470</v>
      </c>
      <c r="D49" s="36">
        <f t="shared" ref="D49:P49" si="49">ROUNDUP(D48*D44,0)</f>
        <v>15470</v>
      </c>
      <c r="E49" s="36">
        <f t="shared" si="49"/>
        <v>15470</v>
      </c>
      <c r="F49" s="36">
        <f t="shared" si="49"/>
        <v>15609</v>
      </c>
      <c r="G49" s="36">
        <f t="shared" si="49"/>
        <v>15687</v>
      </c>
      <c r="H49" s="36">
        <f t="shared" si="49"/>
        <v>15734</v>
      </c>
      <c r="I49" s="36">
        <v>15863</v>
      </c>
      <c r="J49" s="36">
        <v>16051</v>
      </c>
      <c r="K49" s="36">
        <f t="shared" si="49"/>
        <v>0</v>
      </c>
      <c r="L49" s="36">
        <f t="shared" si="49"/>
        <v>0</v>
      </c>
      <c r="M49" s="36">
        <f t="shared" si="49"/>
        <v>0</v>
      </c>
      <c r="N49" s="36">
        <f t="shared" si="49"/>
        <v>0</v>
      </c>
      <c r="O49" s="36">
        <f t="shared" si="49"/>
        <v>0</v>
      </c>
      <c r="P49" s="36">
        <f t="shared" si="49"/>
        <v>0</v>
      </c>
    </row>
    <row r="50" spans="1:16">
      <c r="A50" s="32" t="s">
        <v>21</v>
      </c>
      <c r="C50" s="35">
        <v>7.5600000000000001E-2</v>
      </c>
      <c r="D50" s="35">
        <v>7.5600000000000001E-2</v>
      </c>
      <c r="E50" s="35">
        <v>7.5600000000000001E-2</v>
      </c>
      <c r="F50" s="35">
        <v>7.5600000000000001E-2</v>
      </c>
      <c r="G50" s="35">
        <v>7.5600000000000001E-2</v>
      </c>
      <c r="H50" s="35">
        <v>7.5600000000000001E-2</v>
      </c>
      <c r="I50" s="35">
        <v>7.5600000000000001E-2</v>
      </c>
      <c r="J50" s="35">
        <v>7.5600000000000001E-2</v>
      </c>
      <c r="K50" s="35">
        <v>7.5600000000000001E-2</v>
      </c>
      <c r="L50" s="35">
        <v>7.5600000000000001E-2</v>
      </c>
      <c r="M50" s="35">
        <v>7.5600000000000001E-2</v>
      </c>
      <c r="N50" s="35">
        <v>7.5600000000000001E-2</v>
      </c>
      <c r="O50" s="35">
        <v>7.5600000000000001E-2</v>
      </c>
      <c r="P50" s="35">
        <v>7.5600000000000001E-2</v>
      </c>
    </row>
  </sheetData>
  <sheetProtection algorithmName="SHA-512" hashValue="4CMKe+st/5kEcnz0hVpUNfPwGJDByDeCPpUq4AdFU4ehBC2UaOnD3N6h8SyU0XrGefnJlbP0bM+fG6E2odG8tA==" saltValue="bl+gsnIi2Wqg7Rcies+rO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Home</vt:lpstr>
      <vt:lpstr>1</vt:lpstr>
      <vt:lpstr>'1'!Print_Area</vt:lpstr>
      <vt:lpstr>Home!Print_Area</vt:lpstr>
      <vt:lpstr>'1'!Print_Titles</vt:lpstr>
    </vt:vector>
  </TitlesOfParts>
  <Company>Indicator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 Jaspars</dc:creator>
  <cp:lastModifiedBy>Gied Jaspars</cp:lastModifiedBy>
  <cp:lastPrinted>2012-03-08T14:48:41Z</cp:lastPrinted>
  <dcterms:created xsi:type="dcterms:W3CDTF">2012-03-04T06:56:56Z</dcterms:created>
  <dcterms:modified xsi:type="dcterms:W3CDTF">2019-06-13T10:03:00Z</dcterms:modified>
</cp:coreProperties>
</file>